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9465" activeTab="0"/>
  </bookViews>
  <sheets>
    <sheet name="Gastos Municipales" sheetId="1" r:id="rId1"/>
    <sheet name="Resumen" sheetId="2" state="hidden" r:id="rId2"/>
  </sheets>
  <definedNames>
    <definedName name="_xlnm.Print_Titles" localSheetId="0">'Gastos Municipales'!$A:$B,'Gastos Municipales'!$2:$2</definedName>
  </definedNames>
  <calcPr fullCalcOnLoad="1"/>
</workbook>
</file>

<file path=xl/sharedStrings.xml><?xml version="1.0" encoding="utf-8"?>
<sst xmlns="http://schemas.openxmlformats.org/spreadsheetml/2006/main" count="1794" uniqueCount="810">
  <si>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</si>
  <si>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</si>
  <si>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</si>
  <si>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</si>
  <si>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</si>
  <si>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</si>
  <si>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</si>
  <si>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</si>
  <si>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</si>
  <si>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</si>
  <si>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</si>
  <si>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</si>
  <si>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</si>
  <si>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</si>
  <si>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</si>
  <si>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</si>
  <si>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</si>
  <si>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</si>
  <si>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</si>
  <si>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</si>
  <si>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</si>
  <si>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</si>
  <si>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</si>
  <si>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</si>
  <si>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</si>
  <si>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</si>
  <si>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</si>
  <si>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</si>
  <si>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</si>
  <si>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</si>
  <si>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</si>
  <si>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</si>
  <si>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</si>
  <si>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</si>
  <si>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</si>
  <si>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</si>
  <si>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</si>
  <si>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</si>
  <si>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</si>
  <si>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</si>
  <si>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</si>
  <si>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</si>
  <si>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</si>
  <si>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</si>
  <si>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</si>
  <si>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</si>
  <si>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</si>
  <si>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</si>
  <si>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</si>
  <si>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</si>
  <si>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</si>
  <si>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</si>
  <si>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</si>
  <si>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</si>
  <si>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</si>
  <si>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</si>
  <si>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</si>
  <si>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</si>
  <si>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</si>
  <si>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</si>
  <si>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</si>
  <si>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</si>
  <si>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</si>
  <si>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</si>
  <si>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</si>
  <si>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</si>
  <si>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</si>
  <si>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</si>
  <si>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</si>
  <si>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</si>
  <si>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</si>
  <si>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</si>
  <si>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</si>
  <si>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</si>
  <si>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</si>
  <si>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</si>
  <si>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</si>
  <si>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</si>
  <si>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</si>
  <si>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</si>
  <si>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</si>
  <si>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</si>
  <si>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</si>
  <si>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</si>
  <si>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</si>
  <si>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</si>
  <si>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</si>
  <si>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</si>
  <si>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</si>
  <si>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</si>
  <si>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</si>
  <si>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</si>
  <si>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</si>
  <si>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</si>
  <si>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</si>
  <si>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</si>
  <si>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</si>
  <si>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</si>
  <si>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</si>
  <si>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</si>
  <si>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</si>
  <si>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</si>
  <si>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</si>
  <si>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</si>
  <si>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</si>
  <si>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</si>
  <si>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</si>
  <si>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</si>
  <si>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</si>
  <si>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</si>
  <si>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</si>
  <si>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</si>
  <si>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</si>
  <si>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</si>
  <si>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</si>
  <si>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</si>
  <si>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</si>
  <si>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</si>
  <si>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</si>
  <si>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</si>
  <si>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</si>
  <si>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</si>
  <si>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</si>
  <si>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</si>
  <si>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</si>
  <si>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</si>
  <si>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</si>
  <si>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</si>
  <si>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</si>
  <si>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</si>
  <si>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</si>
  <si>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</si>
  <si>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</si>
  <si>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</si>
  <si>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</si>
  <si>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</si>
  <si>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</si>
  <si>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</si>
  <si>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</si>
  <si>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</si>
  <si>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</si>
  <si>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</si>
  <si>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</si>
  <si>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</si>
  <si>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</si>
  <si>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</si>
  <si>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</si>
  <si>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</si>
  <si>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</si>
  <si>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</si>
  <si>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</si>
  <si>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</si>
  <si>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</si>
  <si>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</si>
  <si>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</si>
  <si>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</si>
  <si>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</si>
  <si>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</si>
  <si>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</si>
  <si>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</si>
  <si>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</si>
  <si>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</si>
  <si>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</si>
  <si>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</si>
  <si>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</si>
  <si>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</si>
  <si>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</si>
  <si>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</si>
  <si>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</si>
  <si>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</si>
  <si>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</si>
  <si>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</si>
  <si>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</si>
  <si>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</si>
  <si>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</si>
  <si>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</si>
  <si>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</si>
  <si>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</si>
  <si>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</si>
  <si>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</si>
  <si>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</si>
  <si>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</si>
  <si>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</si>
  <si>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</si>
  <si>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</si>
  <si>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</si>
  <si>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</si>
  <si>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</si>
  <si>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</si>
  <si>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</si>
  <si>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</si>
  <si>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</si>
  <si>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</si>
  <si>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</si>
  <si>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</si>
  <si>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</si>
  <si>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</si>
  <si>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</si>
  <si>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</si>
  <si>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</si>
  <si>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</si>
  <si>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</si>
  <si>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</si>
  <si>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</si>
  <si>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</si>
  <si>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</si>
  <si>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</si>
  <si>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</si>
  <si>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</si>
  <si>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</si>
  <si>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</si>
  <si>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</si>
  <si>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</si>
  <si>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</si>
  <si>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</si>
  <si>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</si>
  <si>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</si>
  <si>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</si>
  <si>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</si>
  <si>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</si>
  <si>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</si>
  <si>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</si>
  <si>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</si>
  <si>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</si>
  <si>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</si>
  <si>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</si>
  <si>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</si>
  <si>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</si>
  <si>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</si>
  <si>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</si>
  <si>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</si>
  <si>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</si>
  <si>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</si>
  <si>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</si>
  <si>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</si>
  <si>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</si>
  <si>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</si>
  <si>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</si>
  <si>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</si>
  <si>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</si>
  <si>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</si>
  <si>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</si>
  <si>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</si>
  <si>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</si>
  <si>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</si>
  <si>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</si>
  <si>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</si>
  <si>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</si>
  <si>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</si>
  <si>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</si>
  <si>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</si>
  <si>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</si>
  <si>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</si>
  <si>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</si>
  <si>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</si>
  <si>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</si>
  <si>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</si>
  <si>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</si>
  <si>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</si>
  <si>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</si>
  <si>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</si>
  <si>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</si>
  <si>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</si>
  <si>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</si>
  <si>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</si>
  <si>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</si>
  <si>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</si>
  <si>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</si>
  <si>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</si>
  <si>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</si>
  <si>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</si>
  <si>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</si>
  <si>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</si>
  <si>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</si>
  <si>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</si>
  <si>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</si>
  <si>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</si>
  <si>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</si>
  <si>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</si>
  <si>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</si>
  <si>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</si>
  <si>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</si>
  <si>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</si>
  <si>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</si>
  <si>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</si>
  <si>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</si>
  <si>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</si>
  <si>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</si>
  <si>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</si>
  <si>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</si>
  <si>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</si>
  <si>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</si>
  <si>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</si>
  <si>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</si>
  <si>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</si>
  <si>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</si>
  <si>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</si>
  <si>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</si>
  <si>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</si>
  <si>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</si>
  <si>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</si>
  <si>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</si>
  <si>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</si>
  <si>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</si>
  <si>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</si>
  <si>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</si>
  <si>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</si>
  <si>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</si>
  <si>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</si>
  <si>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</si>
  <si>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</si>
  <si>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</si>
  <si>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</si>
  <si>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</si>
  <si>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</si>
  <si>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</si>
  <si>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</si>
  <si>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</si>
  <si>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</si>
  <si>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</si>
  <si>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</si>
  <si>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</si>
  <si>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</si>
  <si>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</si>
  <si>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</si>
  <si>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Otras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</si>
  <si>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</si>
  <si>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</si>
  <si>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</si>
  <si>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</si>
  <si>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</si>
  <si>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</si>
  <si>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</si>
  <si>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</si>
  <si>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</si>
  <si>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</si>
  <si>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</si>
  <si>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</si>
  <si>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</si>
  <si>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</si>
  <si>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</si>
  <si>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</si>
  <si>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</si>
  <si>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</si>
  <si>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</si>
  <si>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</si>
  <si>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</si>
  <si>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</si>
  <si>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</si>
  <si>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</si>
  <si>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</si>
  <si>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</si>
  <si>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</si>
  <si>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</si>
  <si>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</si>
  <si>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</si>
  <si>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</si>
  <si>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</si>
  <si>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</si>
  <si>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</si>
  <si>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</si>
  <si>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</si>
  <si>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</si>
  <si>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</si>
  <si>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</si>
  <si>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</si>
  <si>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</si>
  <si>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</si>
  <si>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</si>
  <si>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</si>
  <si>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</si>
  <si>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</si>
  <si>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</si>
  <si>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</si>
  <si>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</si>
  <si>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</si>
  <si>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</si>
  <si>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</si>
  <si>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</si>
  <si>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</si>
  <si>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</si>
  <si>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</si>
  <si>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</si>
  <si>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</si>
  <si>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</si>
  <si>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</si>
  <si>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</si>
  <si>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</si>
  <si>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</si>
  <si>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</si>
  <si>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</si>
  <si>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</si>
  <si>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</si>
  <si>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</si>
  <si>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</si>
  <si>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</si>
  <si>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</si>
  <si>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</si>
  <si>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</si>
  <si>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</si>
  <si>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Otros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</si>
  <si>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</si>
  <si>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</si>
  <si>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</si>
  <si>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</si>
  <si>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</si>
  <si>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</si>
  <si>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</si>
  <si>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</si>
  <si>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</si>
  <si>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</si>
  <si>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</si>
  <si>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</si>
  <si>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</si>
  <si>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</si>
  <si>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</si>
  <si>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</si>
  <si>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</si>
  <si>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</si>
  <si>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</si>
  <si>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</si>
  <si>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</si>
  <si>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</si>
  <si>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</si>
  <si>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</si>
  <si>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</si>
  <si>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</si>
  <si>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</si>
  <si>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</si>
  <si>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</si>
  <si>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</si>
  <si>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</si>
  <si>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</si>
  <si>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</si>
  <si>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</si>
  <si>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</si>
  <si>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</si>
  <si>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</si>
  <si>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</si>
  <si>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</si>
  <si>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</si>
  <si>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</si>
  <si>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</si>
  <si>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</si>
  <si>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</si>
  <si>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</si>
  <si>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</si>
  <si>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</si>
  <si>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</si>
  <si>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</si>
  <si>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</si>
  <si>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</si>
  <si>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</si>
  <si>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</si>
  <si>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</si>
  <si>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</si>
  <si>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</si>
  <si>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</si>
  <si>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</si>
  <si>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</si>
  <si>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</si>
  <si>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</si>
  <si>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</si>
  <si>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</si>
  <si>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</si>
  <si>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</si>
  <si>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</si>
  <si>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</si>
  <si>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</si>
  <si>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</si>
  <si>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</si>
  <si>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</si>
  <si>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</si>
  <si>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</si>
  <si>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</si>
  <si>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</si>
  <si>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</si>
  <si>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</si>
  <si>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</si>
  <si>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</si>
  <si>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</si>
  <si>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</si>
  <si>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</si>
  <si>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</si>
  <si>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</si>
  <si>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</si>
  <si>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</si>
  <si>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</si>
  <si>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</si>
  <si>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</si>
  <si>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</si>
  <si>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</si>
  <si>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</si>
  <si>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</si>
  <si>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</si>
  <si>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</si>
  <si>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</si>
  <si>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</si>
  <si>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</si>
  <si>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</si>
  <si>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</si>
  <si>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</si>
  <si>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</si>
  <si>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</si>
  <si>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</si>
  <si>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</si>
  <si>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</si>
  <si>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</si>
  <si>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</si>
  <si>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</si>
  <si>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</si>
  <si>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</si>
  <si>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</si>
  <si>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</si>
  <si>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</si>
  <si>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</si>
  <si>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</si>
  <si>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</si>
  <si>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</si>
  <si>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</si>
  <si>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</si>
  <si>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</si>
  <si>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</si>
  <si>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</si>
  <si>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</si>
  <si>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</si>
  <si>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TRANSFERENCIAS CORRIENTES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</si>
  <si>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</si>
  <si>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</si>
  <si>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</si>
  <si>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</si>
  <si>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</si>
  <si>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</si>
  <si>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</si>
  <si>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</si>
  <si>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</si>
  <si>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</si>
  <si>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</si>
  <si>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</si>
  <si>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</si>
  <si>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</si>
  <si>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</si>
  <si>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</si>
  <si>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</si>
  <si>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</si>
  <si>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</si>
  <si>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</si>
  <si>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</si>
  <si>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</si>
  <si>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</si>
  <si>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</si>
  <si>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</si>
  <si>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</si>
  <si>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</si>
  <si>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</si>
  <si>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</si>
  <si>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</si>
  <si>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</si>
  <si>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</si>
  <si>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</si>
  <si>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</si>
  <si>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</si>
  <si>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</si>
  <si>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</si>
  <si>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</si>
  <si>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</si>
  <si>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</si>
  <si>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</si>
  <si>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</si>
  <si>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</si>
  <si>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</si>
  <si>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</si>
  <si>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</si>
  <si>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</si>
  <si>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</si>
  <si>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</si>
  <si>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</si>
  <si>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</si>
  <si>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</si>
  <si>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</si>
  <si>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</si>
  <si>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</si>
  <si>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</si>
  <si>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</si>
  <si>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</si>
  <si>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</si>
  <si>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</si>
  <si>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</si>
  <si>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</si>
  <si>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</si>
  <si>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</si>
  <si>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</si>
  <si>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</si>
  <si>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</si>
  <si>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</si>
  <si>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</si>
  <si>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</si>
  <si>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</si>
  <si>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</si>
  <si>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</si>
  <si>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</si>
  <si>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</si>
  <si>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</si>
  <si>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</si>
  <si>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</si>
  <si>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</si>
  <si>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</si>
  <si>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</si>
  <si>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</si>
  <si>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</si>
  <si>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</si>
  <si>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Arancel al Registro de Multas de Tránsito No Pagadas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</si>
  <si>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</si>
  <si>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</si>
  <si>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</si>
  <si>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</si>
  <si>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</si>
  <si>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TERRENOS</t>
  </si>
  <si>
    <t>215.29.02.000.000.000</t>
  </si>
  <si>
    <t>EDIFICIOS</t>
  </si>
  <si>
    <t>215.29.03.000.000.000</t>
  </si>
  <si>
    <t>VEHICULOS</t>
  </si>
  <si>
    <t>215.29.04.000.000.000</t>
  </si>
  <si>
    <t>MOBILIARIO Y OTROS</t>
  </si>
  <si>
    <t>215.29.05.000.000.000</t>
  </si>
  <si>
    <t>MAQUINAS Y EQUIPOS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</si>
  <si>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</si>
  <si>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</si>
  <si>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</si>
  <si>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</si>
  <si>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</si>
  <si>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</si>
  <si>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EQUIPOS INFORMATICOS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</si>
  <si>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</si>
  <si>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</si>
  <si>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</si>
  <si>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</si>
  <si>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</si>
  <si>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PROGRAMAS INFORMATICOS</t>
  </si>
  <si>
    <t>215.29.07.001.000.000</t>
  </si>
  <si>
    <t>Programas Computacionales</t>
  </si>
  <si>
    <t>215.29.07.002.000.000</t>
  </si>
  <si>
    <t>Sistemas de Información</t>
  </si>
  <si>
    <t>215.29.99.000.000.000</t>
  </si>
  <si>
    <t>OTROS ACTIVOS NO FINANCIEROS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</si>
  <si>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</si>
  <si>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</si>
  <si>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</si>
  <si>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</si>
  <si>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</si>
  <si>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Depósitos a Plazo</t>
  </si>
  <si>
    <t>215.30.01.003.000.000</t>
  </si>
  <si>
    <t>Cuotas de Fondos Mutuos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</si>
  <si>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</si>
  <si>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</si>
  <si>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</si>
  <si>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</si>
  <si>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</si>
  <si>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</si>
  <si>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OTROS ACTIVOS FINANCIEROS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</si>
  <si>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</si>
  <si>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</si>
  <si>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</si>
  <si>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</si>
  <si>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</si>
  <si>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</si>
  <si>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</si>
  <si>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</si>
  <si>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</si>
  <si>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</si>
  <si>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</si>
  <si>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</si>
  <si>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</si>
  <si>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</si>
  <si>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</si>
  <si>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</si>
  <si>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</si>
  <si>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</si>
  <si>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</si>
  <si>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</si>
  <si>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</si>
  <si>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</si>
  <si>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</si>
  <si>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Otros Gastos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</si>
  <si>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</si>
  <si>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</si>
  <si>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</si>
  <si>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</si>
  <si>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</si>
  <si>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</si>
  <si>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</si>
  <si>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</si>
  <si>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</si>
  <si>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HIPOTECARIOS</t>
  </si>
  <si>
    <t>215.32.06.000.000.000</t>
  </si>
  <si>
    <t>POR ANTICIPOS A CONTRATISTAS</t>
  </si>
  <si>
    <t>215.32.07.000.000.000</t>
  </si>
  <si>
    <t>POR ANTICIPOS POR CAMBIO DE RESIDENCIA</t>
  </si>
  <si>
    <t>215.32.99.000.000.000</t>
  </si>
  <si>
    <t>POR VENTAS A PLAZO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</si>
  <si>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</si>
  <si>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</si>
  <si>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</si>
  <si>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</si>
  <si>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</si>
  <si>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</si>
  <si>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</si>
  <si>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</si>
  <si>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</si>
  <si>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</si>
  <si>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</si>
  <si>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</si>
  <si>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</si>
  <si>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</si>
  <si>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215.33.03.999.000.000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</si>
  <si>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</si>
  <si>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</si>
  <si>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</si>
  <si>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</si>
  <si>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</si>
  <si>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Empréstitos</t>
  </si>
  <si>
    <t>215.34.01.003.000.000</t>
  </si>
  <si>
    <t>Créditos de Proveedores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</si>
  <si>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</si>
  <si>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</si>
  <si>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</si>
  <si>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</si>
  <si>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</si>
  <si>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</si>
  <si>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</si>
  <si>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</si>
  <si>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</si>
  <si>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</si>
  <si>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</si>
  <si>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</si>
  <si>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215.21.03.004.001.000</t>
  </si>
  <si>
    <t>Sueldos</t>
  </si>
  <si>
    <t>215.21.03.004.002.000</t>
  </si>
  <si>
    <t>215.21.03.004.003.000</t>
  </si>
  <si>
    <t>215.21.03.004.004.000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</si>
  <si>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</si>
  <si>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</si>
  <si>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</si>
  <si>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</si>
  <si>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</si>
  <si>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215.22.12.006.000.000</t>
  </si>
  <si>
    <t>Contribuciones</t>
  </si>
  <si>
    <t>215.30.01.004.000.000</t>
  </si>
  <si>
    <t>Bonos o Pagares</t>
  </si>
  <si>
    <t>GESTION INTERNA</t>
  </si>
  <si>
    <t>SERVICIOS COMUNITARIOS</t>
  </si>
  <si>
    <t>ACT. MUNICIPALES</t>
  </si>
  <si>
    <t>PROGRAMAS SOCIALES</t>
  </si>
  <si>
    <t>PROGRAMAS DEPORTIVOS</t>
  </si>
  <si>
    <t>PROGRAMAS CULTURALES</t>
  </si>
  <si>
    <t>TOTAL PRESUPUESTO</t>
  </si>
  <si>
    <t>GASTOS TOTALES:</t>
  </si>
  <si>
    <t>Código Cuenta Clasificador</t>
  </si>
  <si>
    <t>Nombre Cuenta Clasificador Presupuestario</t>
  </si>
  <si>
    <t>TOTAL PRESUPUESTO INICIAL</t>
  </si>
  <si>
    <t>TOTAL PRESUPUESTO VIGENTE</t>
  </si>
  <si>
    <t>TOTAL OBLIGACION DEVENGADA</t>
  </si>
  <si>
    <t>TOTAL DEUDA EXIGIBLE</t>
  </si>
  <si>
    <r>
      <t xml:space="preserve">Presupuesto Inicial </t>
    </r>
    <r>
      <rPr>
        <sz val="10"/>
        <rFont val="Comic Sans MS"/>
        <family val="4"/>
      </rPr>
      <t xml:space="preserve">GESTION INTERNA (miles de pesos) </t>
    </r>
  </si>
  <si>
    <r>
      <t xml:space="preserve">Presupuesto Vigente </t>
    </r>
    <r>
      <rPr>
        <sz val="10"/>
        <rFont val="Comic Sans MS"/>
        <family val="4"/>
      </rPr>
      <t>GESTION INTERNA (miles de pesos)</t>
    </r>
  </si>
  <si>
    <r>
      <t>Obligación Devengada</t>
    </r>
    <r>
      <rPr>
        <sz val="10"/>
        <rFont val="Comic Sans MS"/>
        <family val="4"/>
      </rPr>
      <t xml:space="preserve"> GESTION INTERNA (miles de pesos)</t>
    </r>
  </si>
  <si>
    <r>
      <t xml:space="preserve">Presupuesto Inicial </t>
    </r>
    <r>
      <rPr>
        <sz val="10"/>
        <rFont val="Comic Sans MS"/>
        <family val="4"/>
      </rPr>
      <t>SERVICIOS COMUNITARIOS (miles de pesos)</t>
    </r>
  </si>
  <si>
    <r>
      <t xml:space="preserve">Presupuesto Vigente </t>
    </r>
    <r>
      <rPr>
        <sz val="10"/>
        <rFont val="Comic Sans MS"/>
        <family val="4"/>
      </rPr>
      <t>SERVICIOS COMUNITARIOS (miles de pesos)</t>
    </r>
  </si>
  <si>
    <r>
      <t xml:space="preserve">Presupuesto Inicial </t>
    </r>
    <r>
      <rPr>
        <sz val="10"/>
        <rFont val="Comic Sans MS"/>
        <family val="4"/>
      </rPr>
      <t>ACTIVIDADES MUNICIPALES (miles de pesos)</t>
    </r>
  </si>
  <si>
    <r>
      <t>Presupuesto Vigente</t>
    </r>
    <r>
      <rPr>
        <sz val="10"/>
        <rFont val="Comic Sans MS"/>
        <family val="4"/>
      </rPr>
      <t xml:space="preserve"> ACTIVIDADES MUNICIPALES (miles de pesos)</t>
    </r>
  </si>
  <si>
    <r>
      <t>Obligación Devengada</t>
    </r>
    <r>
      <rPr>
        <sz val="10"/>
        <rFont val="Comic Sans MS"/>
        <family val="4"/>
      </rPr>
      <t xml:space="preserve"> ACTIVIDADES MUNICIPALES (miles de pesos)</t>
    </r>
  </si>
  <si>
    <r>
      <t xml:space="preserve">Presupuesto Inicial </t>
    </r>
    <r>
      <rPr>
        <sz val="10"/>
        <rFont val="Comic Sans MS"/>
        <family val="4"/>
      </rPr>
      <t>PROGRAMAS SOCIALES (miles de pesos)</t>
    </r>
  </si>
  <si>
    <r>
      <t xml:space="preserve">Presupuesto Vigente </t>
    </r>
    <r>
      <rPr>
        <sz val="10"/>
        <rFont val="Comic Sans MS"/>
        <family val="4"/>
      </rPr>
      <t>PROGRAMAS SOCIALES (miles de pesos)</t>
    </r>
  </si>
  <si>
    <r>
      <t xml:space="preserve">Obligación Devengada </t>
    </r>
    <r>
      <rPr>
        <sz val="10"/>
        <rFont val="Comic Sans MS"/>
        <family val="4"/>
      </rPr>
      <t>PROGRAMAS SOCIALES (miles de pesos)</t>
    </r>
  </si>
  <si>
    <r>
      <t xml:space="preserve">Presupuesto Inicial </t>
    </r>
    <r>
      <rPr>
        <sz val="10"/>
        <rFont val="Comic Sans MS"/>
        <family val="4"/>
      </rPr>
      <t>PROGRAMAS DEPORTIVOS (miles de pesos)</t>
    </r>
  </si>
  <si>
    <r>
      <t xml:space="preserve">Presupuesto Vigente </t>
    </r>
    <r>
      <rPr>
        <sz val="10"/>
        <rFont val="Comic Sans MS"/>
        <family val="4"/>
      </rPr>
      <t>PROGRAMAS DEPORTIVOS (miles de pesos)</t>
    </r>
  </si>
  <si>
    <r>
      <t>Obligación Devengada</t>
    </r>
    <r>
      <rPr>
        <sz val="10"/>
        <rFont val="Comic Sans MS"/>
        <family val="4"/>
      </rPr>
      <t xml:space="preserve"> PROGRAMAS DEPORTIVOS (miles de pesos)</t>
    </r>
  </si>
  <si>
    <r>
      <t xml:space="preserve">Presupuesto Inicial </t>
    </r>
    <r>
      <rPr>
        <sz val="10"/>
        <rFont val="Comic Sans MS"/>
        <family val="4"/>
      </rPr>
      <t>PROGRAMAS CULTURALES (miles de pesos)</t>
    </r>
  </si>
  <si>
    <r>
      <t>Presupuesto Vigente</t>
    </r>
    <r>
      <rPr>
        <sz val="10"/>
        <rFont val="Comic Sans MS"/>
        <family val="4"/>
      </rPr>
      <t xml:space="preserve"> PROGRAMAS CULTURALES (miles de pesos)</t>
    </r>
  </si>
  <si>
    <r>
      <t xml:space="preserve">Obligación Devengada </t>
    </r>
    <r>
      <rPr>
        <sz val="10"/>
        <rFont val="Comic Sans MS"/>
        <family val="4"/>
      </rPr>
      <t>PROGRAMAS CULTURALES (miles de pesos)</t>
    </r>
  </si>
  <si>
    <r>
      <t xml:space="preserve">Obligación Devengada </t>
    </r>
    <r>
      <rPr>
        <sz val="10"/>
        <rFont val="Comic Sans MS"/>
        <family val="4"/>
      </rPr>
      <t>SERVICIOS COMUNITARIOS (miles de pesos)</t>
    </r>
  </si>
  <si>
    <t>215.32.09.000.000.000</t>
  </si>
  <si>
    <t>215.33.03.099.000.000</t>
  </si>
  <si>
    <t>215.24.07.001.000.000</t>
  </si>
  <si>
    <t>A Mercociudades</t>
  </si>
  <si>
    <t>215.23.03.000.000.000</t>
  </si>
  <si>
    <t>PRESTACIONES SOCIALES DEL EMPLEADOR</t>
  </si>
  <si>
    <t>215.23.03.001.000.000</t>
  </si>
  <si>
    <t>Indemnización de Cargo Fiscal</t>
  </si>
  <si>
    <t>215.23.03.004.000.000</t>
  </si>
  <si>
    <t>Otras Indemnizaciones</t>
  </si>
  <si>
    <t>215.24.01.009.000.000</t>
  </si>
  <si>
    <t>Educación Prebásica - Personas Jurídicas Privadas Art. 13, DFL N°1, 3.063/80</t>
  </si>
  <si>
    <t>Cuenta nueva 2011</t>
  </si>
  <si>
    <t>215.24.07.099.000.000</t>
  </si>
  <si>
    <t>A Otros Organismos Internacionales</t>
  </si>
  <si>
    <t>215.26.04.003.000.000</t>
  </si>
  <si>
    <t>Aplicación Cobros Judiciales a favor de Empresas Concesionarias</t>
  </si>
  <si>
    <r>
      <rPr>
        <b/>
        <sz val="10"/>
        <color indexed="10"/>
        <rFont val="Comic Sans MS"/>
        <family val="4"/>
      </rPr>
      <t>Cuenta Nueva 2014</t>
    </r>
    <r>
      <rPr>
        <sz val="10"/>
        <color indexed="10"/>
        <rFont val="Comic Sans MS"/>
        <family val="4"/>
      </rPr>
      <t xml:space="preserve"> (Se crea cuenta de acuerdo a </t>
    </r>
    <r>
      <rPr>
        <b/>
        <sz val="10"/>
        <color indexed="10"/>
        <rFont val="Comic Sans MS"/>
        <family val="4"/>
      </rPr>
      <t>Dictamen 22703</t>
    </r>
    <r>
      <rPr>
        <sz val="10"/>
        <color indexed="10"/>
        <rFont val="Comic Sans MS"/>
        <family val="4"/>
      </rPr>
      <t>, de fecha 31 de Marzo 2014)</t>
    </r>
  </si>
  <si>
    <t>215.21.01.001.022.000</t>
  </si>
  <si>
    <t>Componente Base Asignación de Desempeño</t>
  </si>
  <si>
    <t>215.21.02.001.021.000</t>
  </si>
  <si>
    <t>editar cuenta para 2015</t>
  </si>
  <si>
    <t>Multas Art. 14, Nº 6, Inc. 1°,  Ley Nº18.695 - Equipos de Registro</t>
  </si>
  <si>
    <t>215.24.03.092.002.000</t>
  </si>
  <si>
    <t>Multas Art. 14, Nº 6, Inc. 2°,  Ley Nº18.695 - Multas TAG</t>
  </si>
  <si>
    <t>cuenta nueva 2015</t>
  </si>
  <si>
    <t>215.24.03.092.003.000</t>
  </si>
  <si>
    <t>Multas Art. 42, Decreto N° 900, de 1996, Ministerio de Obras Públicas</t>
  </si>
  <si>
    <t>Verificación TOTAL GASTOS MUNICIPALES: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</si>
</sst>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Comic Sans MS"/>
      <family val="4"/>
    </font>
    <font>
      <b/>
      <sz val="10"/>
      <color indexed="62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omic Sans MS"/>
      <family val="4"/>
    </font>
    <font>
      <sz val="10"/>
      <color theme="4"/>
      <name val="Comic Sans MS"/>
      <family val="4"/>
    </font>
    <font>
      <b/>
      <sz val="10"/>
      <color theme="4"/>
      <name val="Comic Sans MS"/>
      <family val="4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top" wrapText="1"/>
    </xf>
    <xf numFmtId="0" fontId="2" fillId="37" borderId="10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2" fillId="37" borderId="0" xfId="0" applyFont="1" applyFill="1" applyAlignment="1">
      <alignment/>
    </xf>
    <xf numFmtId="0" fontId="2" fillId="37" borderId="11" xfId="0" applyFont="1" applyFill="1" applyBorder="1" applyAlignment="1" applyProtection="1">
      <alignment horizontal="center" vertical="top" wrapText="1"/>
      <protection/>
    </xf>
    <xf numFmtId="0" fontId="2" fillId="38" borderId="11" xfId="0" applyFont="1" applyFill="1" applyBorder="1" applyAlignment="1" applyProtection="1">
      <alignment horizontal="center" vertical="top" wrapText="1"/>
      <protection/>
    </xf>
    <xf numFmtId="0" fontId="2" fillId="39" borderId="11" xfId="0" applyFont="1" applyFill="1" applyBorder="1" applyAlignment="1" applyProtection="1">
      <alignment horizontal="center" vertical="top" wrapText="1"/>
      <protection/>
    </xf>
    <xf numFmtId="0" fontId="2" fillId="40" borderId="11" xfId="0" applyFont="1" applyFill="1" applyBorder="1" applyAlignment="1" applyProtection="1">
      <alignment horizontal="center" vertical="top" wrapText="1"/>
      <protection/>
    </xf>
    <xf numFmtId="0" fontId="2" fillId="41" borderId="11" xfId="0" applyFont="1" applyFill="1" applyBorder="1" applyAlignment="1" applyProtection="1">
      <alignment horizontal="center" vertical="top" wrapText="1"/>
      <protection/>
    </xf>
    <xf numFmtId="0" fontId="2" fillId="42" borderId="11" xfId="0" applyFont="1" applyFill="1" applyBorder="1" applyAlignment="1" applyProtection="1">
      <alignment horizontal="center" vertical="top" wrapText="1"/>
      <protection/>
    </xf>
    <xf numFmtId="0" fontId="2" fillId="43" borderId="11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/>
    </xf>
    <xf numFmtId="3" fontId="2" fillId="36" borderId="10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34" borderId="10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2" fillId="27" borderId="11" xfId="0" applyFont="1" applyFill="1" applyBorder="1" applyAlignment="1" applyProtection="1">
      <alignment horizontal="center" vertical="top" wrapText="1"/>
      <protection/>
    </xf>
    <xf numFmtId="0" fontId="43" fillId="33" borderId="10" xfId="0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3" fontId="43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3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8"/>
  <sheetViews>
    <sheetView tabSelected="1" zoomScale="80" zoomScaleNormal="80" zoomScalePageLayoutView="0" workbookViewId="0" topLeftCell="A1">
      <pane xSplit="2" ySplit="2" topLeftCell="C4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07" sqref="H407"/>
    </sheetView>
  </sheetViews>
  <sheetFormatPr defaultColWidth="11.421875" defaultRowHeight="12.75"/>
  <cols>
    <col min="1" max="1" width="25.7109375" style="2" bestFit="1" customWidth="1"/>
    <col min="2" max="2" width="88.140625" style="2" bestFit="1" customWidth="1"/>
    <col min="3" max="3" width="14.140625" style="0" customWidth="1"/>
    <col min="4" max="6" width="14.140625" style="1" customWidth="1"/>
    <col min="7" max="14" width="14.57421875" style="1" customWidth="1"/>
    <col min="15" max="26" width="14.140625" style="1" customWidth="1"/>
    <col min="27" max="30" width="15.00390625" style="1" customWidth="1"/>
    <col min="31" max="16384" width="11.421875" style="1" customWidth="1"/>
  </cols>
  <sheetData>
    <row r="1" spans="1:27" s="3" customFormat="1" ht="16.5">
      <c r="A1" s="11"/>
      <c r="B1" s="11"/>
      <c r="C1" s="3" t="s">
        <v>749</v>
      </c>
      <c r="G1" s="3" t="s">
        <v>750</v>
      </c>
      <c r="K1" s="3" t="s">
        <v>751</v>
      </c>
      <c r="O1" s="3" t="s">
        <v>752</v>
      </c>
      <c r="S1" s="3" t="s">
        <v>753</v>
      </c>
      <c r="W1" s="3" t="s">
        <v>754</v>
      </c>
      <c r="AA1" s="3" t="s">
        <v>755</v>
      </c>
    </row>
    <row r="2" spans="1:40" s="3" customFormat="1" ht="93">
      <c r="A2" s="10" t="s">
        <v>757</v>
      </c>
      <c r="B2" s="10" t="s">
        <v>758</v>
      </c>
      <c r="C2" s="15" t="s">
        <v>763</v>
      </c>
      <c r="D2" s="15" t="s">
        <v>764</v>
      </c>
      <c r="E2" s="15" t="s">
        <v>765</v>
      </c>
      <c r="F2" s="15"/>
      <c r="G2" s="16" t="s">
        <v>766</v>
      </c>
      <c r="H2" s="16" t="s">
        <v>767</v>
      </c>
      <c r="I2" s="16" t="s">
        <v>780</v>
      </c>
      <c r="J2" s="16"/>
      <c r="K2" s="17" t="s">
        <v>768</v>
      </c>
      <c r="L2" s="17" t="s">
        <v>769</v>
      </c>
      <c r="M2" s="17" t="s">
        <v>770</v>
      </c>
      <c r="N2" s="17"/>
      <c r="O2" s="18" t="s">
        <v>771</v>
      </c>
      <c r="P2" s="18" t="s">
        <v>772</v>
      </c>
      <c r="Q2" s="18" t="s">
        <v>773</v>
      </c>
      <c r="R2" s="18"/>
      <c r="S2" s="19" t="s">
        <v>774</v>
      </c>
      <c r="T2" s="19" t="s">
        <v>775</v>
      </c>
      <c r="U2" s="19" t="s">
        <v>776</v>
      </c>
      <c r="V2" s="19"/>
      <c r="W2" s="20" t="s">
        <v>777</v>
      </c>
      <c r="X2" s="20" t="s">
        <v>778</v>
      </c>
      <c r="Y2" s="20" t="s">
        <v>779</v>
      </c>
      <c r="Z2" s="20"/>
      <c r="AA2" s="14" t="s">
        <v>759</v>
      </c>
      <c r="AB2" s="14" t="s">
        <v>760</v>
      </c>
      <c r="AC2" s="14" t="s">
        <v>761</v>
      </c>
      <c r="AD2" s="37" t="s">
        <v>762</v>
      </c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30" ht="16.5">
      <c r="A3" s="6" t="s">
        <v>0</v>
      </c>
      <c r="B3" s="6" t="s">
        <v>1</v>
      </c>
      <c r="C3" s="22">
        <f>SUM(C4+C109+C201+C216)</f>
        <v>1098000</v>
      </c>
      <c r="D3" s="22">
        <f aca="true" t="shared" si="0" ref="D3:AD3">SUM(D4+D109+D201+D216)</f>
        <v>1098000</v>
      </c>
      <c r="E3" s="22">
        <f t="shared" si="0"/>
        <v>381100</v>
      </c>
      <c r="F3" s="22"/>
      <c r="G3" s="22">
        <f t="shared" si="0"/>
        <v>14400</v>
      </c>
      <c r="H3" s="22">
        <f t="shared" si="0"/>
        <v>14400</v>
      </c>
      <c r="I3" s="22">
        <f t="shared" si="0"/>
        <v>6473</v>
      </c>
      <c r="J3" s="22"/>
      <c r="K3" s="22">
        <f t="shared" si="0"/>
        <v>60000</v>
      </c>
      <c r="L3" s="22">
        <f t="shared" si="0"/>
        <v>60000</v>
      </c>
      <c r="M3" s="22">
        <f t="shared" si="0"/>
        <v>24313</v>
      </c>
      <c r="N3" s="22"/>
      <c r="O3" s="22">
        <f t="shared" si="0"/>
        <v>31200</v>
      </c>
      <c r="P3" s="22">
        <f t="shared" si="0"/>
        <v>31200</v>
      </c>
      <c r="Q3" s="22">
        <f t="shared" si="0"/>
        <v>0</v>
      </c>
      <c r="R3" s="22"/>
      <c r="S3" s="22">
        <f t="shared" si="0"/>
        <v>10000</v>
      </c>
      <c r="T3" s="22">
        <f t="shared" si="0"/>
        <v>10000</v>
      </c>
      <c r="U3" s="22">
        <f t="shared" si="0"/>
        <v>0</v>
      </c>
      <c r="V3" s="22"/>
      <c r="W3" s="22">
        <f t="shared" si="0"/>
        <v>30000</v>
      </c>
      <c r="X3" s="22">
        <f t="shared" si="0"/>
        <v>30000</v>
      </c>
      <c r="Y3" s="22">
        <f t="shared" si="0"/>
        <v>0</v>
      </c>
      <c r="Z3" s="22"/>
      <c r="AA3" s="22">
        <f t="shared" si="0"/>
        <v>1243600</v>
      </c>
      <c r="AB3" s="22">
        <f t="shared" si="0"/>
        <v>1243600</v>
      </c>
      <c r="AC3" s="22">
        <f t="shared" si="0"/>
        <v>411886</v>
      </c>
      <c r="AD3" s="22">
        <f t="shared" si="0"/>
        <v>831714</v>
      </c>
    </row>
    <row r="4" spans="1:30" ht="16.5">
      <c r="A4" s="7" t="s">
        <v>2</v>
      </c>
      <c r="B4" s="7" t="s">
        <v>3</v>
      </c>
      <c r="C4" s="23">
        <f>SUM(C5+C76+C79+C93+C101)</f>
        <v>756416</v>
      </c>
      <c r="D4" s="23">
        <f aca="true" t="shared" si="1" ref="D4:AD4">SUM(D5+D76+D79+D93+D101)</f>
        <v>756416</v>
      </c>
      <c r="E4" s="23">
        <f t="shared" si="1"/>
        <v>249762</v>
      </c>
      <c r="F4" s="23"/>
      <c r="G4" s="23">
        <f t="shared" si="1"/>
        <v>0</v>
      </c>
      <c r="H4" s="23">
        <f t="shared" si="1"/>
        <v>0</v>
      </c>
      <c r="I4" s="23">
        <f t="shared" si="1"/>
        <v>0</v>
      </c>
      <c r="J4" s="23"/>
      <c r="K4" s="23">
        <f t="shared" si="1"/>
        <v>0</v>
      </c>
      <c r="L4" s="23">
        <f t="shared" si="1"/>
        <v>0</v>
      </c>
      <c r="M4" s="23">
        <f t="shared" si="1"/>
        <v>0</v>
      </c>
      <c r="N4" s="23"/>
      <c r="O4" s="23">
        <f t="shared" si="1"/>
        <v>0</v>
      </c>
      <c r="P4" s="23">
        <f t="shared" si="1"/>
        <v>0</v>
      </c>
      <c r="Q4" s="23">
        <f t="shared" si="1"/>
        <v>0</v>
      </c>
      <c r="R4" s="23"/>
      <c r="S4" s="23">
        <f t="shared" si="1"/>
        <v>0</v>
      </c>
      <c r="T4" s="23">
        <f t="shared" si="1"/>
        <v>0</v>
      </c>
      <c r="U4" s="23">
        <f t="shared" si="1"/>
        <v>0</v>
      </c>
      <c r="V4" s="23"/>
      <c r="W4" s="23">
        <f t="shared" si="1"/>
        <v>0</v>
      </c>
      <c r="X4" s="23">
        <f t="shared" si="1"/>
        <v>0</v>
      </c>
      <c r="Y4" s="23">
        <f t="shared" si="1"/>
        <v>0</v>
      </c>
      <c r="Z4" s="23"/>
      <c r="AA4" s="23">
        <f t="shared" si="1"/>
        <v>756416</v>
      </c>
      <c r="AB4" s="23">
        <f t="shared" si="1"/>
        <v>756416</v>
      </c>
      <c r="AC4" s="23">
        <f t="shared" si="1"/>
        <v>249762</v>
      </c>
      <c r="AD4" s="23">
        <f t="shared" si="1"/>
        <v>506654</v>
      </c>
    </row>
    <row r="5" spans="1:30" ht="16.5">
      <c r="A5" s="8" t="s">
        <v>4</v>
      </c>
      <c r="B5" s="8" t="s">
        <v>5</v>
      </c>
      <c r="C5" s="24">
        <f aca="true" t="shared" si="2" ref="C5:AD5">SUM(C6+C7+C11+C13+C18+C22+C25+C34+C36+C38+C47+C50+C56+C59+C60+C61+C66+C69+C70+C71+C72+C73+C75+C55)</f>
        <v>557816</v>
      </c>
      <c r="D5" s="24">
        <f t="shared" si="2"/>
        <v>557816</v>
      </c>
      <c r="E5" s="24">
        <f t="shared" si="2"/>
        <v>186682</v>
      </c>
      <c r="F5" s="24"/>
      <c r="G5" s="24">
        <f t="shared" si="2"/>
        <v>0</v>
      </c>
      <c r="H5" s="24">
        <f t="shared" si="2"/>
        <v>0</v>
      </c>
      <c r="I5" s="24">
        <f t="shared" si="2"/>
        <v>0</v>
      </c>
      <c r="J5" s="24"/>
      <c r="K5" s="24">
        <f t="shared" si="2"/>
        <v>0</v>
      </c>
      <c r="L5" s="24">
        <f t="shared" si="2"/>
        <v>0</v>
      </c>
      <c r="M5" s="24">
        <f t="shared" si="2"/>
        <v>0</v>
      </c>
      <c r="N5" s="24"/>
      <c r="O5" s="24">
        <f t="shared" si="2"/>
        <v>0</v>
      </c>
      <c r="P5" s="24">
        <f t="shared" si="2"/>
        <v>0</v>
      </c>
      <c r="Q5" s="24">
        <f t="shared" si="2"/>
        <v>0</v>
      </c>
      <c r="R5" s="24"/>
      <c r="S5" s="24">
        <f t="shared" si="2"/>
        <v>0</v>
      </c>
      <c r="T5" s="24">
        <f t="shared" si="2"/>
        <v>0</v>
      </c>
      <c r="U5" s="24">
        <f t="shared" si="2"/>
        <v>0</v>
      </c>
      <c r="V5" s="24"/>
      <c r="W5" s="24">
        <f t="shared" si="2"/>
        <v>0</v>
      </c>
      <c r="X5" s="24">
        <f t="shared" si="2"/>
        <v>0</v>
      </c>
      <c r="Y5" s="24">
        <f t="shared" si="2"/>
        <v>0</v>
      </c>
      <c r="Z5" s="24"/>
      <c r="AA5" s="24">
        <f t="shared" si="2"/>
        <v>557816</v>
      </c>
      <c r="AB5" s="24">
        <f t="shared" si="2"/>
        <v>557816</v>
      </c>
      <c r="AC5" s="24">
        <f t="shared" si="2"/>
        <v>186682</v>
      </c>
      <c r="AD5" s="24">
        <f t="shared" si="2"/>
        <v>371134</v>
      </c>
    </row>
    <row r="6" spans="1:30" ht="16.5">
      <c r="A6" s="5" t="s">
        <v>6</v>
      </c>
      <c r="B6" s="5" t="s">
        <v>7</v>
      </c>
      <c r="C6" s="25">
        <v>134409</v>
      </c>
      <c r="D6" s="25">
        <v>134409</v>
      </c>
      <c r="E6" s="25">
        <f>6642+6581+6703+6550+8439+6690+6644+122</f>
        <v>48371</v>
      </c>
      <c r="F6" s="25">
        <f>C6-E6</f>
        <v>86038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>
        <f>SUM(C6+G6+K6+O6+S6+W6)</f>
        <v>134409</v>
      </c>
      <c r="AB6" s="26">
        <f>SUM(D6+H6+L6+P6+T6+X6)</f>
        <v>134409</v>
      </c>
      <c r="AC6" s="26">
        <f>SUM(E6+I6+Q6+U6+M6+Y6)</f>
        <v>48371</v>
      </c>
      <c r="AD6" s="25">
        <f>AA6-AC6</f>
        <v>86038</v>
      </c>
    </row>
    <row r="7" spans="1:30" ht="16.5">
      <c r="A7" s="5" t="s">
        <v>8</v>
      </c>
      <c r="B7" s="5" t="s">
        <v>9</v>
      </c>
      <c r="C7" s="27">
        <f>SUM(C8+C9+C10)</f>
        <v>13409</v>
      </c>
      <c r="D7" s="27">
        <f aca="true" t="shared" si="3" ref="D7:AD7">SUM(D8+D9+D10)</f>
        <v>13409</v>
      </c>
      <c r="E7" s="27">
        <f t="shared" si="3"/>
        <v>9039</v>
      </c>
      <c r="F7" s="27"/>
      <c r="G7" s="27">
        <f t="shared" si="3"/>
        <v>0</v>
      </c>
      <c r="H7" s="27">
        <f t="shared" si="3"/>
        <v>0</v>
      </c>
      <c r="I7" s="27">
        <f t="shared" si="3"/>
        <v>0</v>
      </c>
      <c r="J7" s="27"/>
      <c r="K7" s="27">
        <f t="shared" si="3"/>
        <v>0</v>
      </c>
      <c r="L7" s="27">
        <f t="shared" si="3"/>
        <v>0</v>
      </c>
      <c r="M7" s="27">
        <f t="shared" si="3"/>
        <v>0</v>
      </c>
      <c r="N7" s="27"/>
      <c r="O7" s="27">
        <f t="shared" si="3"/>
        <v>0</v>
      </c>
      <c r="P7" s="27">
        <f t="shared" si="3"/>
        <v>0</v>
      </c>
      <c r="Q7" s="27">
        <f t="shared" si="3"/>
        <v>0</v>
      </c>
      <c r="R7" s="27"/>
      <c r="S7" s="27">
        <f t="shared" si="3"/>
        <v>0</v>
      </c>
      <c r="T7" s="27">
        <f t="shared" si="3"/>
        <v>0</v>
      </c>
      <c r="U7" s="27">
        <f t="shared" si="3"/>
        <v>0</v>
      </c>
      <c r="V7" s="27"/>
      <c r="W7" s="27">
        <f t="shared" si="3"/>
        <v>0</v>
      </c>
      <c r="X7" s="27">
        <f t="shared" si="3"/>
        <v>0</v>
      </c>
      <c r="Y7" s="27">
        <f t="shared" si="3"/>
        <v>0</v>
      </c>
      <c r="Z7" s="27"/>
      <c r="AA7" s="28">
        <f t="shared" si="3"/>
        <v>13409</v>
      </c>
      <c r="AB7" s="28">
        <f t="shared" si="3"/>
        <v>13409</v>
      </c>
      <c r="AC7" s="28">
        <f t="shared" si="3"/>
        <v>9039</v>
      </c>
      <c r="AD7" s="27">
        <f t="shared" si="3"/>
        <v>4370</v>
      </c>
    </row>
    <row r="8" spans="1:30" ht="16.5">
      <c r="A8" s="4" t="s">
        <v>10</v>
      </c>
      <c r="B8" s="4" t="s">
        <v>11</v>
      </c>
      <c r="C8" s="29">
        <v>13409</v>
      </c>
      <c r="D8" s="29">
        <v>13409</v>
      </c>
      <c r="E8" s="29">
        <f>1161</f>
        <v>1161</v>
      </c>
      <c r="F8" s="29">
        <f>C8-E8</f>
        <v>12248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6">
        <f aca="true" t="shared" si="4" ref="AA8:AB10">SUM(C8+G8+K8+O8+S8+W8)</f>
        <v>13409</v>
      </c>
      <c r="AB8" s="26">
        <f t="shared" si="4"/>
        <v>13409</v>
      </c>
      <c r="AC8" s="26">
        <f>SUM(E8+I8+Q8+U8+M8+Y8)</f>
        <v>1161</v>
      </c>
      <c r="AD8" s="29">
        <f>AA8-AC8</f>
        <v>12248</v>
      </c>
    </row>
    <row r="9" spans="1:30" ht="16.5">
      <c r="A9" s="4" t="s">
        <v>12</v>
      </c>
      <c r="B9" s="4" t="s">
        <v>13</v>
      </c>
      <c r="C9" s="29"/>
      <c r="D9" s="29"/>
      <c r="E9" s="29">
        <f>1077+1100+1100+1161+340+1945+1155</f>
        <v>7878</v>
      </c>
      <c r="F9" s="29">
        <f>C9-E9</f>
        <v>-7878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6">
        <f t="shared" si="4"/>
        <v>0</v>
      </c>
      <c r="AB9" s="26">
        <f t="shared" si="4"/>
        <v>0</v>
      </c>
      <c r="AC9" s="26">
        <f>SUM(E9+I9+Q9+U9+M9+Y9)</f>
        <v>7878</v>
      </c>
      <c r="AD9" s="29">
        <f>AA9-AC9</f>
        <v>-7878</v>
      </c>
    </row>
    <row r="10" spans="1:30" ht="16.5">
      <c r="A10" s="4" t="s">
        <v>14</v>
      </c>
      <c r="B10" s="4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6">
        <f t="shared" si="4"/>
        <v>0</v>
      </c>
      <c r="AB10" s="26">
        <f t="shared" si="4"/>
        <v>0</v>
      </c>
      <c r="AC10" s="26">
        <f>SUM(E10+I10+Q10+U10+M10+Y10)</f>
        <v>0</v>
      </c>
      <c r="AD10" s="29">
        <f>AA10-AC10</f>
        <v>0</v>
      </c>
    </row>
    <row r="11" spans="1:30" ht="16.5">
      <c r="A11" s="5" t="s">
        <v>16</v>
      </c>
      <c r="B11" s="5" t="s">
        <v>17</v>
      </c>
      <c r="C11" s="27">
        <f>SUM(C12)</f>
        <v>0</v>
      </c>
      <c r="D11" s="27">
        <f aca="true" t="shared" si="5" ref="D11:AD11">SUM(D12)</f>
        <v>0</v>
      </c>
      <c r="E11" s="27">
        <f t="shared" si="5"/>
        <v>0</v>
      </c>
      <c r="F11" s="27"/>
      <c r="G11" s="27">
        <f t="shared" si="5"/>
        <v>0</v>
      </c>
      <c r="H11" s="27">
        <f t="shared" si="5"/>
        <v>0</v>
      </c>
      <c r="I11" s="27">
        <f t="shared" si="5"/>
        <v>0</v>
      </c>
      <c r="J11" s="27"/>
      <c r="K11" s="27">
        <f t="shared" si="5"/>
        <v>0</v>
      </c>
      <c r="L11" s="27">
        <f t="shared" si="5"/>
        <v>0</v>
      </c>
      <c r="M11" s="27">
        <f t="shared" si="5"/>
        <v>0</v>
      </c>
      <c r="N11" s="27"/>
      <c r="O11" s="27">
        <f t="shared" si="5"/>
        <v>0</v>
      </c>
      <c r="P11" s="27">
        <f t="shared" si="5"/>
        <v>0</v>
      </c>
      <c r="Q11" s="27">
        <f t="shared" si="5"/>
        <v>0</v>
      </c>
      <c r="R11" s="27"/>
      <c r="S11" s="27">
        <f t="shared" si="5"/>
        <v>0</v>
      </c>
      <c r="T11" s="27">
        <f t="shared" si="5"/>
        <v>0</v>
      </c>
      <c r="U11" s="27">
        <f t="shared" si="5"/>
        <v>0</v>
      </c>
      <c r="V11" s="27"/>
      <c r="W11" s="27">
        <f t="shared" si="5"/>
        <v>0</v>
      </c>
      <c r="X11" s="27">
        <f t="shared" si="5"/>
        <v>0</v>
      </c>
      <c r="Y11" s="27">
        <f t="shared" si="5"/>
        <v>0</v>
      </c>
      <c r="Z11" s="27"/>
      <c r="AA11" s="28">
        <f t="shared" si="5"/>
        <v>0</v>
      </c>
      <c r="AB11" s="28">
        <f t="shared" si="5"/>
        <v>0</v>
      </c>
      <c r="AC11" s="28">
        <f t="shared" si="5"/>
        <v>0</v>
      </c>
      <c r="AD11" s="27">
        <f t="shared" si="5"/>
        <v>0</v>
      </c>
    </row>
    <row r="12" spans="1:30" ht="16.5">
      <c r="A12" s="4" t="s">
        <v>18</v>
      </c>
      <c r="B12" s="4" t="s">
        <v>19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6">
        <f>SUM(C12+G12+K12+O12+S12+W12)</f>
        <v>0</v>
      </c>
      <c r="AB12" s="26">
        <f>SUM(D12+H12+L12+P12+T12+X12)</f>
        <v>0</v>
      </c>
      <c r="AC12" s="26">
        <f>SUM(E12+I12+Q12+U12+M12+Y12)</f>
        <v>0</v>
      </c>
      <c r="AD12" s="29"/>
    </row>
    <row r="13" spans="1:30" ht="16.5">
      <c r="A13" s="5" t="s">
        <v>20</v>
      </c>
      <c r="B13" s="5" t="s">
        <v>21</v>
      </c>
      <c r="C13" s="27">
        <f>SUM(C14+C15+C16+C17)</f>
        <v>65861</v>
      </c>
      <c r="D13" s="27">
        <f aca="true" t="shared" si="6" ref="D13:AD13">SUM(D14+D15+D16+D17)</f>
        <v>65861</v>
      </c>
      <c r="E13" s="27">
        <f t="shared" si="6"/>
        <v>24436</v>
      </c>
      <c r="F13" s="27"/>
      <c r="G13" s="27">
        <f t="shared" si="6"/>
        <v>0</v>
      </c>
      <c r="H13" s="27">
        <f t="shared" si="6"/>
        <v>0</v>
      </c>
      <c r="I13" s="27">
        <f t="shared" si="6"/>
        <v>0</v>
      </c>
      <c r="J13" s="27"/>
      <c r="K13" s="27">
        <f t="shared" si="6"/>
        <v>0</v>
      </c>
      <c r="L13" s="27">
        <f t="shared" si="6"/>
        <v>0</v>
      </c>
      <c r="M13" s="27">
        <f t="shared" si="6"/>
        <v>0</v>
      </c>
      <c r="N13" s="27"/>
      <c r="O13" s="27">
        <f t="shared" si="6"/>
        <v>0</v>
      </c>
      <c r="P13" s="27">
        <f t="shared" si="6"/>
        <v>0</v>
      </c>
      <c r="Q13" s="27">
        <f t="shared" si="6"/>
        <v>0</v>
      </c>
      <c r="R13" s="27"/>
      <c r="S13" s="27">
        <f t="shared" si="6"/>
        <v>0</v>
      </c>
      <c r="T13" s="27">
        <f t="shared" si="6"/>
        <v>0</v>
      </c>
      <c r="U13" s="27">
        <f t="shared" si="6"/>
        <v>0</v>
      </c>
      <c r="V13" s="27"/>
      <c r="W13" s="27">
        <f t="shared" si="6"/>
        <v>0</v>
      </c>
      <c r="X13" s="27">
        <f t="shared" si="6"/>
        <v>0</v>
      </c>
      <c r="Y13" s="27">
        <f t="shared" si="6"/>
        <v>0</v>
      </c>
      <c r="Z13" s="27"/>
      <c r="AA13" s="30">
        <f t="shared" si="6"/>
        <v>65861</v>
      </c>
      <c r="AB13" s="30">
        <f t="shared" si="6"/>
        <v>65861</v>
      </c>
      <c r="AC13" s="30">
        <f t="shared" si="6"/>
        <v>24436</v>
      </c>
      <c r="AD13" s="27">
        <f t="shared" si="6"/>
        <v>41425</v>
      </c>
    </row>
    <row r="14" spans="1:30" ht="16.5">
      <c r="A14" s="4" t="s">
        <v>22</v>
      </c>
      <c r="B14" s="4" t="s">
        <v>23</v>
      </c>
      <c r="C14" s="29">
        <v>65861</v>
      </c>
      <c r="D14" s="29">
        <v>65861</v>
      </c>
      <c r="E14" s="29">
        <f>3254+3224+3284+3254+3210+3326+3364</f>
        <v>22916</v>
      </c>
      <c r="F14" s="29">
        <f>C14-E14</f>
        <v>42945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6">
        <f aca="true" t="shared" si="7" ref="AA14:AB17">SUM(C14+G14+K14+O14+S14+W14)</f>
        <v>65861</v>
      </c>
      <c r="AB14" s="26">
        <f t="shared" si="7"/>
        <v>65861</v>
      </c>
      <c r="AC14" s="26">
        <f>SUM(E14+I14+Q14+U14+M14+Y14)</f>
        <v>22916</v>
      </c>
      <c r="AD14" s="29">
        <f>AA14-AC14</f>
        <v>42945</v>
      </c>
    </row>
    <row r="15" spans="1:30" ht="16.5">
      <c r="A15" s="4" t="s">
        <v>24</v>
      </c>
      <c r="B15" s="4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6">
        <f t="shared" si="7"/>
        <v>0</v>
      </c>
      <c r="AB15" s="26">
        <f t="shared" si="7"/>
        <v>0</v>
      </c>
      <c r="AC15" s="26">
        <f>SUM(E15+I15+Q15+U15+M15+Y15)</f>
        <v>0</v>
      </c>
      <c r="AD15" s="29">
        <f>AA15-AC15</f>
        <v>0</v>
      </c>
    </row>
    <row r="16" spans="1:30" ht="16.5">
      <c r="A16" s="4" t="s">
        <v>26</v>
      </c>
      <c r="B16" s="4" t="s">
        <v>27</v>
      </c>
      <c r="C16" s="29"/>
      <c r="D16" s="29"/>
      <c r="E16" s="29">
        <f>154+154+154+154+596+154+154</f>
        <v>1520</v>
      </c>
      <c r="F16" s="29">
        <f>C16-E16</f>
        <v>-1520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6">
        <f t="shared" si="7"/>
        <v>0</v>
      </c>
      <c r="AB16" s="26">
        <f t="shared" si="7"/>
        <v>0</v>
      </c>
      <c r="AC16" s="26">
        <f>SUM(E16+I16+Q16+U16+M16+Y16)</f>
        <v>1520</v>
      </c>
      <c r="AD16" s="29">
        <f>AA16-AC16</f>
        <v>-1520</v>
      </c>
    </row>
    <row r="17" spans="1:30" ht="16.5">
      <c r="A17" s="4" t="s">
        <v>28</v>
      </c>
      <c r="B17" s="4" t="s">
        <v>29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6">
        <f t="shared" si="7"/>
        <v>0</v>
      </c>
      <c r="AB17" s="26">
        <f t="shared" si="7"/>
        <v>0</v>
      </c>
      <c r="AC17" s="26">
        <f>SUM(E17+I17+Q17+U17+M17+Y17)</f>
        <v>0</v>
      </c>
      <c r="AD17" s="29">
        <f>AA17-AC17</f>
        <v>0</v>
      </c>
    </row>
    <row r="18" spans="1:30" ht="16.5">
      <c r="A18" s="5" t="s">
        <v>30</v>
      </c>
      <c r="B18" s="5" t="s">
        <v>31</v>
      </c>
      <c r="C18" s="27">
        <f>SUM(C19+C20+C21)</f>
        <v>167744</v>
      </c>
      <c r="D18" s="27">
        <f aca="true" t="shared" si="8" ref="D18:AD18">SUM(D19+D20+D21)</f>
        <v>167744</v>
      </c>
      <c r="E18" s="27">
        <f t="shared" si="8"/>
        <v>49932</v>
      </c>
      <c r="F18" s="27"/>
      <c r="G18" s="27">
        <f t="shared" si="8"/>
        <v>0</v>
      </c>
      <c r="H18" s="27">
        <f t="shared" si="8"/>
        <v>0</v>
      </c>
      <c r="I18" s="27">
        <f t="shared" si="8"/>
        <v>0</v>
      </c>
      <c r="J18" s="27"/>
      <c r="K18" s="27">
        <f t="shared" si="8"/>
        <v>0</v>
      </c>
      <c r="L18" s="27">
        <f t="shared" si="8"/>
        <v>0</v>
      </c>
      <c r="M18" s="27">
        <f t="shared" si="8"/>
        <v>0</v>
      </c>
      <c r="N18" s="27"/>
      <c r="O18" s="27">
        <f t="shared" si="8"/>
        <v>0</v>
      </c>
      <c r="P18" s="27">
        <f t="shared" si="8"/>
        <v>0</v>
      </c>
      <c r="Q18" s="27">
        <f t="shared" si="8"/>
        <v>0</v>
      </c>
      <c r="R18" s="27"/>
      <c r="S18" s="27">
        <f t="shared" si="8"/>
        <v>0</v>
      </c>
      <c r="T18" s="27">
        <f t="shared" si="8"/>
        <v>0</v>
      </c>
      <c r="U18" s="27">
        <f t="shared" si="8"/>
        <v>0</v>
      </c>
      <c r="V18" s="27"/>
      <c r="W18" s="27">
        <f t="shared" si="8"/>
        <v>0</v>
      </c>
      <c r="X18" s="27">
        <f t="shared" si="8"/>
        <v>0</v>
      </c>
      <c r="Y18" s="27">
        <f t="shared" si="8"/>
        <v>0</v>
      </c>
      <c r="Z18" s="27"/>
      <c r="AA18" s="30">
        <f t="shared" si="8"/>
        <v>167744</v>
      </c>
      <c r="AB18" s="30">
        <f t="shared" si="8"/>
        <v>167744</v>
      </c>
      <c r="AC18" s="30">
        <f t="shared" si="8"/>
        <v>49932</v>
      </c>
      <c r="AD18" s="27">
        <f t="shared" si="8"/>
        <v>117812</v>
      </c>
    </row>
    <row r="19" spans="1:30" ht="16.5">
      <c r="A19" s="4" t="s">
        <v>32</v>
      </c>
      <c r="B19" s="4" t="s">
        <v>33</v>
      </c>
      <c r="C19" s="29">
        <v>167744</v>
      </c>
      <c r="D19" s="29">
        <v>167744</v>
      </c>
      <c r="E19" s="29">
        <f>7164+7041+7286+7164+6980+7072+7225</f>
        <v>49932</v>
      </c>
      <c r="F19" s="29">
        <f>C19-E19</f>
        <v>117812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6">
        <f aca="true" t="shared" si="9" ref="AA19:AB21">SUM(C19+G19+K19+O19+S19+W19)</f>
        <v>167744</v>
      </c>
      <c r="AB19" s="26">
        <f t="shared" si="9"/>
        <v>167744</v>
      </c>
      <c r="AC19" s="26">
        <f>SUM(E19+I19+Q19+U19+M19+Y19)</f>
        <v>49932</v>
      </c>
      <c r="AD19" s="29">
        <f>AA19-AC19</f>
        <v>117812</v>
      </c>
    </row>
    <row r="20" spans="1:30" ht="16.5">
      <c r="A20" s="4" t="s">
        <v>34</v>
      </c>
      <c r="B20" s="4" t="s">
        <v>35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6">
        <f t="shared" si="9"/>
        <v>0</v>
      </c>
      <c r="AB20" s="26">
        <f t="shared" si="9"/>
        <v>0</v>
      </c>
      <c r="AC20" s="26">
        <f>SUM(E20+I20+Q20+U20+M20+Y20)</f>
        <v>0</v>
      </c>
      <c r="AD20" s="29">
        <f>AA20-AC20</f>
        <v>0</v>
      </c>
    </row>
    <row r="21" spans="1:30" ht="16.5">
      <c r="A21" s="4" t="s">
        <v>36</v>
      </c>
      <c r="B21" s="4" t="s">
        <v>37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6">
        <f t="shared" si="9"/>
        <v>0</v>
      </c>
      <c r="AB21" s="26">
        <f t="shared" si="9"/>
        <v>0</v>
      </c>
      <c r="AC21" s="26">
        <f>SUM(E21+I21+Q21+U21+M21+Y21)</f>
        <v>0</v>
      </c>
      <c r="AD21" s="29">
        <f>AA21-AC21</f>
        <v>0</v>
      </c>
    </row>
    <row r="22" spans="1:30" ht="16.5">
      <c r="A22" s="5" t="s">
        <v>38</v>
      </c>
      <c r="B22" s="5" t="s">
        <v>39</v>
      </c>
      <c r="C22" s="27">
        <f>SUM(C23+C24)</f>
        <v>0</v>
      </c>
      <c r="D22" s="27">
        <f aca="true" t="shared" si="10" ref="D22:AD22">SUM(D23+D24)</f>
        <v>0</v>
      </c>
      <c r="E22" s="27">
        <f t="shared" si="10"/>
        <v>0</v>
      </c>
      <c r="F22" s="27"/>
      <c r="G22" s="27">
        <f t="shared" si="10"/>
        <v>0</v>
      </c>
      <c r="H22" s="27">
        <f t="shared" si="10"/>
        <v>0</v>
      </c>
      <c r="I22" s="27">
        <f t="shared" si="10"/>
        <v>0</v>
      </c>
      <c r="J22" s="27"/>
      <c r="K22" s="27">
        <f t="shared" si="10"/>
        <v>0</v>
      </c>
      <c r="L22" s="27">
        <f t="shared" si="10"/>
        <v>0</v>
      </c>
      <c r="M22" s="27">
        <f t="shared" si="10"/>
        <v>0</v>
      </c>
      <c r="N22" s="27"/>
      <c r="O22" s="27">
        <f t="shared" si="10"/>
        <v>0</v>
      </c>
      <c r="P22" s="27">
        <f t="shared" si="10"/>
        <v>0</v>
      </c>
      <c r="Q22" s="27">
        <f t="shared" si="10"/>
        <v>0</v>
      </c>
      <c r="R22" s="27"/>
      <c r="S22" s="27">
        <f t="shared" si="10"/>
        <v>0</v>
      </c>
      <c r="T22" s="27">
        <f t="shared" si="10"/>
        <v>0</v>
      </c>
      <c r="U22" s="27">
        <f t="shared" si="10"/>
        <v>0</v>
      </c>
      <c r="V22" s="27"/>
      <c r="W22" s="27">
        <f t="shared" si="10"/>
        <v>0</v>
      </c>
      <c r="X22" s="27">
        <f t="shared" si="10"/>
        <v>0</v>
      </c>
      <c r="Y22" s="27">
        <f t="shared" si="10"/>
        <v>0</v>
      </c>
      <c r="Z22" s="27"/>
      <c r="AA22" s="30">
        <f t="shared" si="10"/>
        <v>0</v>
      </c>
      <c r="AB22" s="30">
        <f t="shared" si="10"/>
        <v>0</v>
      </c>
      <c r="AC22" s="30">
        <f t="shared" si="10"/>
        <v>0</v>
      </c>
      <c r="AD22" s="27">
        <f t="shared" si="10"/>
        <v>0</v>
      </c>
    </row>
    <row r="23" spans="1:30" ht="16.5">
      <c r="A23" s="4" t="s">
        <v>40</v>
      </c>
      <c r="B23" s="4" t="s">
        <v>41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6">
        <f>SUM(C23+G23+K23+O23+S23+W23)</f>
        <v>0</v>
      </c>
      <c r="AB23" s="26">
        <f>SUM(D23+H23+L23+P23+T23+X23)</f>
        <v>0</v>
      </c>
      <c r="AC23" s="26">
        <f>SUM(E23+I23+Q23+U23+M23+Y23)</f>
        <v>0</v>
      </c>
      <c r="AD23" s="29">
        <f>AA23-AC23</f>
        <v>0</v>
      </c>
    </row>
    <row r="24" spans="1:30" ht="16.5">
      <c r="A24" s="4" t="s">
        <v>42</v>
      </c>
      <c r="B24" s="4" t="s">
        <v>43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6">
        <f>SUM(C24+G24+K24+O24+S24+W24)</f>
        <v>0</v>
      </c>
      <c r="AB24" s="26">
        <f>SUM(D24+H24+L24+P24+T24+X24)</f>
        <v>0</v>
      </c>
      <c r="AC24" s="26">
        <f>SUM(E24+I24+Q24+U24+M24+Y24)</f>
        <v>0</v>
      </c>
      <c r="AD24" s="29">
        <f>AA24-AC24</f>
        <v>0</v>
      </c>
    </row>
    <row r="25" spans="1:30" ht="16.5">
      <c r="A25" s="5" t="s">
        <v>44</v>
      </c>
      <c r="B25" s="5" t="s">
        <v>45</v>
      </c>
      <c r="C25" s="27">
        <f>SUM(C26+C27+C28+C29+C30+C31+C32+C33)</f>
        <v>16360</v>
      </c>
      <c r="D25" s="27">
        <f aca="true" t="shared" si="11" ref="D25:AD25">SUM(D26+D27+D28+D29+D30+D31+D32+D33)</f>
        <v>16360</v>
      </c>
      <c r="E25" s="27">
        <f t="shared" si="11"/>
        <v>6063</v>
      </c>
      <c r="F25" s="27"/>
      <c r="G25" s="27">
        <f t="shared" si="11"/>
        <v>0</v>
      </c>
      <c r="H25" s="27">
        <f t="shared" si="11"/>
        <v>0</v>
      </c>
      <c r="I25" s="27">
        <f t="shared" si="11"/>
        <v>0</v>
      </c>
      <c r="J25" s="27"/>
      <c r="K25" s="27">
        <f t="shared" si="11"/>
        <v>0</v>
      </c>
      <c r="L25" s="27">
        <f t="shared" si="11"/>
        <v>0</v>
      </c>
      <c r="M25" s="27">
        <f t="shared" si="11"/>
        <v>0</v>
      </c>
      <c r="N25" s="27"/>
      <c r="O25" s="27">
        <f t="shared" si="11"/>
        <v>0</v>
      </c>
      <c r="P25" s="27">
        <f t="shared" si="11"/>
        <v>0</v>
      </c>
      <c r="Q25" s="27">
        <f t="shared" si="11"/>
        <v>0</v>
      </c>
      <c r="R25" s="27"/>
      <c r="S25" s="27">
        <f t="shared" si="11"/>
        <v>0</v>
      </c>
      <c r="T25" s="27">
        <f t="shared" si="11"/>
        <v>0</v>
      </c>
      <c r="U25" s="27">
        <f t="shared" si="11"/>
        <v>0</v>
      </c>
      <c r="V25" s="27"/>
      <c r="W25" s="27">
        <f t="shared" si="11"/>
        <v>0</v>
      </c>
      <c r="X25" s="27">
        <f t="shared" si="11"/>
        <v>0</v>
      </c>
      <c r="Y25" s="27">
        <f t="shared" si="11"/>
        <v>0</v>
      </c>
      <c r="Z25" s="27"/>
      <c r="AA25" s="30">
        <f t="shared" si="11"/>
        <v>16360</v>
      </c>
      <c r="AB25" s="30">
        <f t="shared" si="11"/>
        <v>16360</v>
      </c>
      <c r="AC25" s="30">
        <f t="shared" si="11"/>
        <v>6063</v>
      </c>
      <c r="AD25" s="27">
        <f t="shared" si="11"/>
        <v>10297</v>
      </c>
    </row>
    <row r="26" spans="1:30" ht="16.5">
      <c r="A26" s="4" t="s">
        <v>46</v>
      </c>
      <c r="B26" s="4" t="s">
        <v>47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6">
        <f aca="true" t="shared" si="12" ref="AA26:AA33">SUM(C26+G26+K26+O26+S26+W26)</f>
        <v>0</v>
      </c>
      <c r="AB26" s="26">
        <f aca="true" t="shared" si="13" ref="AB26:AB33">SUM(D26+H26+L26+P26+T26+X26)</f>
        <v>0</v>
      </c>
      <c r="AC26" s="26">
        <f aca="true" t="shared" si="14" ref="AC26:AC33">SUM(E26+I26+Q26+U26+M26+Y26)</f>
        <v>0</v>
      </c>
      <c r="AD26" s="29">
        <f>AA26-AC26</f>
        <v>0</v>
      </c>
    </row>
    <row r="27" spans="1:30" ht="16.5">
      <c r="A27" s="4" t="s">
        <v>48</v>
      </c>
      <c r="B27" s="4" t="s">
        <v>49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6">
        <f t="shared" si="12"/>
        <v>0</v>
      </c>
      <c r="AB27" s="26">
        <f t="shared" si="13"/>
        <v>0</v>
      </c>
      <c r="AC27" s="26">
        <f t="shared" si="14"/>
        <v>0</v>
      </c>
      <c r="AD27" s="29">
        <f aca="true" t="shared" si="15" ref="AD27:AD33">AA27-AC27</f>
        <v>0</v>
      </c>
    </row>
    <row r="28" spans="1:30" ht="16.5">
      <c r="A28" s="4" t="s">
        <v>50</v>
      </c>
      <c r="B28" s="4" t="s">
        <v>51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6">
        <f t="shared" si="12"/>
        <v>0</v>
      </c>
      <c r="AB28" s="26">
        <f t="shared" si="13"/>
        <v>0</v>
      </c>
      <c r="AC28" s="26">
        <f t="shared" si="14"/>
        <v>0</v>
      </c>
      <c r="AD28" s="29">
        <f t="shared" si="15"/>
        <v>0</v>
      </c>
    </row>
    <row r="29" spans="1:30" ht="16.5">
      <c r="A29" s="4" t="s">
        <v>52</v>
      </c>
      <c r="B29" s="4" t="s">
        <v>53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6">
        <f t="shared" si="12"/>
        <v>0</v>
      </c>
      <c r="AB29" s="26">
        <f t="shared" si="13"/>
        <v>0</v>
      </c>
      <c r="AC29" s="26">
        <f t="shared" si="14"/>
        <v>0</v>
      </c>
      <c r="AD29" s="29">
        <f t="shared" si="15"/>
        <v>0</v>
      </c>
    </row>
    <row r="30" spans="1:30" ht="16.5">
      <c r="A30" s="4" t="s">
        <v>54</v>
      </c>
      <c r="B30" s="4" t="s">
        <v>55</v>
      </c>
      <c r="C30" s="29">
        <v>16360</v>
      </c>
      <c r="D30" s="29">
        <v>16360</v>
      </c>
      <c r="E30" s="29">
        <f>868+864+872+862+862+862+3+870</f>
        <v>6063</v>
      </c>
      <c r="F30" s="29">
        <f>C30-E30</f>
        <v>10297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6">
        <f t="shared" si="12"/>
        <v>16360</v>
      </c>
      <c r="AB30" s="26">
        <f t="shared" si="13"/>
        <v>16360</v>
      </c>
      <c r="AC30" s="26">
        <f t="shared" si="14"/>
        <v>6063</v>
      </c>
      <c r="AD30" s="29">
        <f t="shared" si="15"/>
        <v>10297</v>
      </c>
    </row>
    <row r="31" spans="1:30" ht="16.5">
      <c r="A31" s="4" t="s">
        <v>56</v>
      </c>
      <c r="B31" s="4" t="s">
        <v>57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6">
        <f t="shared" si="12"/>
        <v>0</v>
      </c>
      <c r="AB31" s="26">
        <f t="shared" si="13"/>
        <v>0</v>
      </c>
      <c r="AC31" s="26">
        <f t="shared" si="14"/>
        <v>0</v>
      </c>
      <c r="AD31" s="29">
        <f t="shared" si="15"/>
        <v>0</v>
      </c>
    </row>
    <row r="32" spans="1:30" ht="16.5">
      <c r="A32" s="4" t="s">
        <v>58</v>
      </c>
      <c r="B32" s="4" t="s">
        <v>59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6">
        <f t="shared" si="12"/>
        <v>0</v>
      </c>
      <c r="AB32" s="26">
        <f t="shared" si="13"/>
        <v>0</v>
      </c>
      <c r="AC32" s="26">
        <f t="shared" si="14"/>
        <v>0</v>
      </c>
      <c r="AD32" s="29">
        <f t="shared" si="15"/>
        <v>0</v>
      </c>
    </row>
    <row r="33" spans="1:30" ht="16.5">
      <c r="A33" s="4" t="s">
        <v>60</v>
      </c>
      <c r="B33" s="4" t="s">
        <v>61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6">
        <f t="shared" si="12"/>
        <v>0</v>
      </c>
      <c r="AB33" s="26">
        <f t="shared" si="13"/>
        <v>0</v>
      </c>
      <c r="AC33" s="26">
        <f t="shared" si="14"/>
        <v>0</v>
      </c>
      <c r="AD33" s="29">
        <f t="shared" si="15"/>
        <v>0</v>
      </c>
    </row>
    <row r="34" spans="1:30" ht="16.5">
      <c r="A34" s="5" t="s">
        <v>62</v>
      </c>
      <c r="B34" s="5" t="s">
        <v>63</v>
      </c>
      <c r="C34" s="27">
        <f>SUM(C35)</f>
        <v>311</v>
      </c>
      <c r="D34" s="27">
        <f aca="true" t="shared" si="16" ref="D34:AD34">SUM(D35)</f>
        <v>311</v>
      </c>
      <c r="E34" s="27">
        <f t="shared" si="16"/>
        <v>84</v>
      </c>
      <c r="F34" s="27"/>
      <c r="G34" s="27">
        <f t="shared" si="16"/>
        <v>0</v>
      </c>
      <c r="H34" s="27">
        <f t="shared" si="16"/>
        <v>0</v>
      </c>
      <c r="I34" s="27">
        <f t="shared" si="16"/>
        <v>0</v>
      </c>
      <c r="J34" s="27"/>
      <c r="K34" s="27">
        <f t="shared" si="16"/>
        <v>0</v>
      </c>
      <c r="L34" s="27">
        <f t="shared" si="16"/>
        <v>0</v>
      </c>
      <c r="M34" s="27">
        <f t="shared" si="16"/>
        <v>0</v>
      </c>
      <c r="N34" s="27"/>
      <c r="O34" s="27">
        <f t="shared" si="16"/>
        <v>0</v>
      </c>
      <c r="P34" s="27">
        <f t="shared" si="16"/>
        <v>0</v>
      </c>
      <c r="Q34" s="27">
        <f t="shared" si="16"/>
        <v>0</v>
      </c>
      <c r="R34" s="27"/>
      <c r="S34" s="27">
        <f t="shared" si="16"/>
        <v>0</v>
      </c>
      <c r="T34" s="27">
        <f t="shared" si="16"/>
        <v>0</v>
      </c>
      <c r="U34" s="27">
        <f t="shared" si="16"/>
        <v>0</v>
      </c>
      <c r="V34" s="27"/>
      <c r="W34" s="27">
        <f t="shared" si="16"/>
        <v>0</v>
      </c>
      <c r="X34" s="27">
        <f t="shared" si="16"/>
        <v>0</v>
      </c>
      <c r="Y34" s="27">
        <f t="shared" si="16"/>
        <v>0</v>
      </c>
      <c r="Z34" s="27"/>
      <c r="AA34" s="30">
        <f t="shared" si="16"/>
        <v>311</v>
      </c>
      <c r="AB34" s="30">
        <f t="shared" si="16"/>
        <v>311</v>
      </c>
      <c r="AC34" s="30">
        <f t="shared" si="16"/>
        <v>84</v>
      </c>
      <c r="AD34" s="27">
        <f t="shared" si="16"/>
        <v>227</v>
      </c>
    </row>
    <row r="35" spans="1:30" ht="16.5">
      <c r="A35" s="4" t="s">
        <v>64</v>
      </c>
      <c r="B35" s="4" t="s">
        <v>65</v>
      </c>
      <c r="C35" s="29">
        <v>311</v>
      </c>
      <c r="D35" s="29">
        <v>311</v>
      </c>
      <c r="E35" s="29">
        <f>12+12+12+12+12+12+12</f>
        <v>84</v>
      </c>
      <c r="F35" s="29">
        <f>C35-E35</f>
        <v>227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6">
        <f>SUM(C35+G35+K35+O35+S35+W35)</f>
        <v>311</v>
      </c>
      <c r="AB35" s="26">
        <f>SUM(D35+H35+L35+P35+T35+X35)</f>
        <v>311</v>
      </c>
      <c r="AC35" s="26">
        <f>SUM(E35+I35+Q35+U35+M35+Y35)</f>
        <v>84</v>
      </c>
      <c r="AD35" s="29">
        <f>AA35-AC35</f>
        <v>227</v>
      </c>
    </row>
    <row r="36" spans="1:30" ht="16.5">
      <c r="A36" s="5" t="s">
        <v>66</v>
      </c>
      <c r="B36" s="5" t="s">
        <v>67</v>
      </c>
      <c r="C36" s="27">
        <f>SUM(C37)</f>
        <v>0</v>
      </c>
      <c r="D36" s="27">
        <f aca="true" t="shared" si="17" ref="D36:AD36">SUM(D37)</f>
        <v>0</v>
      </c>
      <c r="E36" s="27">
        <f t="shared" si="17"/>
        <v>0</v>
      </c>
      <c r="F36" s="27"/>
      <c r="G36" s="27">
        <f t="shared" si="17"/>
        <v>0</v>
      </c>
      <c r="H36" s="27">
        <f t="shared" si="17"/>
        <v>0</v>
      </c>
      <c r="I36" s="27">
        <f t="shared" si="17"/>
        <v>0</v>
      </c>
      <c r="J36" s="27"/>
      <c r="K36" s="27">
        <f t="shared" si="17"/>
        <v>0</v>
      </c>
      <c r="L36" s="27">
        <f t="shared" si="17"/>
        <v>0</v>
      </c>
      <c r="M36" s="27">
        <f t="shared" si="17"/>
        <v>0</v>
      </c>
      <c r="N36" s="27"/>
      <c r="O36" s="27">
        <f t="shared" si="17"/>
        <v>0</v>
      </c>
      <c r="P36" s="27">
        <f t="shared" si="17"/>
        <v>0</v>
      </c>
      <c r="Q36" s="27">
        <f t="shared" si="17"/>
        <v>0</v>
      </c>
      <c r="R36" s="27"/>
      <c r="S36" s="27">
        <f t="shared" si="17"/>
        <v>0</v>
      </c>
      <c r="T36" s="27">
        <f t="shared" si="17"/>
        <v>0</v>
      </c>
      <c r="U36" s="27">
        <f t="shared" si="17"/>
        <v>0</v>
      </c>
      <c r="V36" s="27"/>
      <c r="W36" s="27">
        <f t="shared" si="17"/>
        <v>0</v>
      </c>
      <c r="X36" s="27">
        <f t="shared" si="17"/>
        <v>0</v>
      </c>
      <c r="Y36" s="27">
        <f t="shared" si="17"/>
        <v>0</v>
      </c>
      <c r="Z36" s="27"/>
      <c r="AA36" s="30">
        <f t="shared" si="17"/>
        <v>0</v>
      </c>
      <c r="AB36" s="30">
        <f t="shared" si="17"/>
        <v>0</v>
      </c>
      <c r="AC36" s="30">
        <f t="shared" si="17"/>
        <v>0</v>
      </c>
      <c r="AD36" s="27">
        <f t="shared" si="17"/>
        <v>0</v>
      </c>
    </row>
    <row r="37" spans="1:30" ht="16.5">
      <c r="A37" s="4" t="s">
        <v>68</v>
      </c>
      <c r="B37" s="4" t="s">
        <v>69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6">
        <f>SUM(C37+G37+K37+O37+S37+W37)</f>
        <v>0</v>
      </c>
      <c r="AB37" s="26">
        <f>SUM(D37+H37+L37+P37+T37+X37)</f>
        <v>0</v>
      </c>
      <c r="AC37" s="26">
        <f>SUM(E37+I37+Q37+U37+M37+Y37)</f>
        <v>0</v>
      </c>
      <c r="AD37" s="29">
        <f>AA37-AC37</f>
        <v>0</v>
      </c>
    </row>
    <row r="38" spans="1:30" ht="16.5">
      <c r="A38" s="5" t="s">
        <v>70</v>
      </c>
      <c r="B38" s="5" t="s">
        <v>71</v>
      </c>
      <c r="C38" s="27">
        <f>SUM(C39+C40+C41+C42+C43+C44+C45+C46)</f>
        <v>71594</v>
      </c>
      <c r="D38" s="27">
        <f aca="true" t="shared" si="18" ref="D38:AD38">SUM(D39+D40+D41+D42+D43+D44+D45+D46)</f>
        <v>71594</v>
      </c>
      <c r="E38" s="27">
        <f t="shared" si="18"/>
        <v>24134</v>
      </c>
      <c r="F38" s="27"/>
      <c r="G38" s="27">
        <f t="shared" si="18"/>
        <v>0</v>
      </c>
      <c r="H38" s="27">
        <f t="shared" si="18"/>
        <v>0</v>
      </c>
      <c r="I38" s="27">
        <f t="shared" si="18"/>
        <v>0</v>
      </c>
      <c r="J38" s="27"/>
      <c r="K38" s="27">
        <f t="shared" si="18"/>
        <v>0</v>
      </c>
      <c r="L38" s="27">
        <f t="shared" si="18"/>
        <v>0</v>
      </c>
      <c r="M38" s="27">
        <f t="shared" si="18"/>
        <v>0</v>
      </c>
      <c r="N38" s="27"/>
      <c r="O38" s="27">
        <f t="shared" si="18"/>
        <v>0</v>
      </c>
      <c r="P38" s="27">
        <f t="shared" si="18"/>
        <v>0</v>
      </c>
      <c r="Q38" s="27">
        <f t="shared" si="18"/>
        <v>0</v>
      </c>
      <c r="R38" s="27"/>
      <c r="S38" s="27">
        <f t="shared" si="18"/>
        <v>0</v>
      </c>
      <c r="T38" s="27">
        <f t="shared" si="18"/>
        <v>0</v>
      </c>
      <c r="U38" s="27">
        <f t="shared" si="18"/>
        <v>0</v>
      </c>
      <c r="V38" s="27"/>
      <c r="W38" s="27">
        <f t="shared" si="18"/>
        <v>0</v>
      </c>
      <c r="X38" s="27">
        <f t="shared" si="18"/>
        <v>0</v>
      </c>
      <c r="Y38" s="27">
        <f t="shared" si="18"/>
        <v>0</v>
      </c>
      <c r="Z38" s="27"/>
      <c r="AA38" s="30">
        <f t="shared" si="18"/>
        <v>71594</v>
      </c>
      <c r="AB38" s="30">
        <f t="shared" si="18"/>
        <v>71594</v>
      </c>
      <c r="AC38" s="30">
        <f t="shared" si="18"/>
        <v>24134</v>
      </c>
      <c r="AD38" s="27">
        <f t="shared" si="18"/>
        <v>47460</v>
      </c>
    </row>
    <row r="39" spans="1:30" ht="16.5">
      <c r="A39" s="4" t="s">
        <v>72</v>
      </c>
      <c r="B39" s="4" t="s">
        <v>73</v>
      </c>
      <c r="C39" s="29">
        <v>28898</v>
      </c>
      <c r="D39" s="29">
        <v>28898</v>
      </c>
      <c r="E39" s="29">
        <f>1428+1415+1441+1428+1408+1418+1435</f>
        <v>9973</v>
      </c>
      <c r="F39" s="29">
        <f>C39-E39</f>
        <v>18925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6">
        <f aca="true" t="shared" si="19" ref="AA39:AA46">SUM(C39+G39+K39+O39+S39+W39)</f>
        <v>28898</v>
      </c>
      <c r="AB39" s="26">
        <f aca="true" t="shared" si="20" ref="AB39:AB46">SUM(D39+H39+L39+P39+T39+X39)</f>
        <v>28898</v>
      </c>
      <c r="AC39" s="26">
        <f aca="true" t="shared" si="21" ref="AC39:AC46">SUM(E39+I39+Q39+U39+M39+Y39)</f>
        <v>9973</v>
      </c>
      <c r="AD39" s="29">
        <f>AA39-AC39</f>
        <v>18925</v>
      </c>
    </row>
    <row r="40" spans="1:30" ht="16.5">
      <c r="A40" s="4" t="s">
        <v>74</v>
      </c>
      <c r="B40" s="4" t="s">
        <v>75</v>
      </c>
      <c r="C40" s="29">
        <v>12391</v>
      </c>
      <c r="D40" s="29">
        <v>12391</v>
      </c>
      <c r="E40" s="29">
        <f>515+506+524+515+501+508+519</f>
        <v>3588</v>
      </c>
      <c r="F40" s="29">
        <f>C40-E40</f>
        <v>8803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6">
        <f t="shared" si="19"/>
        <v>12391</v>
      </c>
      <c r="AB40" s="26">
        <f t="shared" si="20"/>
        <v>12391</v>
      </c>
      <c r="AC40" s="26">
        <f t="shared" si="21"/>
        <v>3588</v>
      </c>
      <c r="AD40" s="29">
        <f aca="true" t="shared" si="22" ref="AD40:AD46">AA40-AC40</f>
        <v>8803</v>
      </c>
    </row>
    <row r="41" spans="1:30" ht="16.5">
      <c r="A41" s="4" t="s">
        <v>76</v>
      </c>
      <c r="B41" s="4" t="s">
        <v>77</v>
      </c>
      <c r="C41" s="29">
        <v>30305</v>
      </c>
      <c r="D41" s="29">
        <v>30305</v>
      </c>
      <c r="E41" s="29">
        <f>1257+1235+1279+1257+1224+1241+1268</f>
        <v>8761</v>
      </c>
      <c r="F41" s="29">
        <f>C41-E41</f>
        <v>21544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6">
        <f t="shared" si="19"/>
        <v>30305</v>
      </c>
      <c r="AB41" s="26">
        <f t="shared" si="20"/>
        <v>30305</v>
      </c>
      <c r="AC41" s="26">
        <f t="shared" si="21"/>
        <v>8761</v>
      </c>
      <c r="AD41" s="29">
        <f t="shared" si="22"/>
        <v>21544</v>
      </c>
    </row>
    <row r="42" spans="1:30" ht="16.5">
      <c r="A42" s="4" t="s">
        <v>78</v>
      </c>
      <c r="B42" s="4" t="s">
        <v>79</v>
      </c>
      <c r="C42" s="29"/>
      <c r="D42" s="29"/>
      <c r="E42" s="29">
        <f>903+903</f>
        <v>1806</v>
      </c>
      <c r="F42" s="29">
        <f>C42-E42</f>
        <v>-1806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6">
        <f t="shared" si="19"/>
        <v>0</v>
      </c>
      <c r="AB42" s="26">
        <f t="shared" si="20"/>
        <v>0</v>
      </c>
      <c r="AC42" s="26">
        <f t="shared" si="21"/>
        <v>1806</v>
      </c>
      <c r="AD42" s="29">
        <f t="shared" si="22"/>
        <v>-1806</v>
      </c>
    </row>
    <row r="43" spans="1:30" ht="16.5">
      <c r="A43" s="4" t="s">
        <v>80</v>
      </c>
      <c r="B43" s="4" t="s">
        <v>81</v>
      </c>
      <c r="C43" s="29"/>
      <c r="D43" s="29"/>
      <c r="E43" s="29">
        <f>6</f>
        <v>6</v>
      </c>
      <c r="F43" s="29">
        <f>C43-E43</f>
        <v>-6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6">
        <f t="shared" si="19"/>
        <v>0</v>
      </c>
      <c r="AB43" s="26">
        <f t="shared" si="20"/>
        <v>0</v>
      </c>
      <c r="AC43" s="26">
        <f t="shared" si="21"/>
        <v>6</v>
      </c>
      <c r="AD43" s="29">
        <f t="shared" si="22"/>
        <v>-6</v>
      </c>
    </row>
    <row r="44" spans="1:30" ht="16.5">
      <c r="A44" s="4" t="s">
        <v>82</v>
      </c>
      <c r="B44" s="4" t="s">
        <v>83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6">
        <f t="shared" si="19"/>
        <v>0</v>
      </c>
      <c r="AB44" s="26">
        <f t="shared" si="20"/>
        <v>0</v>
      </c>
      <c r="AC44" s="26">
        <f t="shared" si="21"/>
        <v>0</v>
      </c>
      <c r="AD44" s="29">
        <f t="shared" si="22"/>
        <v>0</v>
      </c>
    </row>
    <row r="45" spans="1:30" ht="16.5">
      <c r="A45" s="4" t="s">
        <v>84</v>
      </c>
      <c r="B45" s="4" t="s">
        <v>85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6">
        <f t="shared" si="19"/>
        <v>0</v>
      </c>
      <c r="AB45" s="26">
        <f t="shared" si="20"/>
        <v>0</v>
      </c>
      <c r="AC45" s="26">
        <f t="shared" si="21"/>
        <v>0</v>
      </c>
      <c r="AD45" s="29">
        <f t="shared" si="22"/>
        <v>0</v>
      </c>
    </row>
    <row r="46" spans="1:30" ht="16.5">
      <c r="A46" s="4" t="s">
        <v>86</v>
      </c>
      <c r="B46" s="4" t="s">
        <v>87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6">
        <f t="shared" si="19"/>
        <v>0</v>
      </c>
      <c r="AB46" s="26">
        <f t="shared" si="20"/>
        <v>0</v>
      </c>
      <c r="AC46" s="26">
        <f t="shared" si="21"/>
        <v>0</v>
      </c>
      <c r="AD46" s="29">
        <f t="shared" si="22"/>
        <v>0</v>
      </c>
    </row>
    <row r="47" spans="1:30" ht="16.5">
      <c r="A47" s="5" t="s">
        <v>88</v>
      </c>
      <c r="B47" s="5" t="s">
        <v>89</v>
      </c>
      <c r="C47" s="27">
        <f>SUM(C48+C49)</f>
        <v>18889</v>
      </c>
      <c r="D47" s="27">
        <f aca="true" t="shared" si="23" ref="D47:AD47">SUM(D48+D49)</f>
        <v>18889</v>
      </c>
      <c r="E47" s="27">
        <f t="shared" si="23"/>
        <v>7412</v>
      </c>
      <c r="F47" s="27"/>
      <c r="G47" s="27">
        <f t="shared" si="23"/>
        <v>0</v>
      </c>
      <c r="H47" s="27">
        <f t="shared" si="23"/>
        <v>0</v>
      </c>
      <c r="I47" s="27">
        <f t="shared" si="23"/>
        <v>0</v>
      </c>
      <c r="J47" s="27"/>
      <c r="K47" s="27">
        <f t="shared" si="23"/>
        <v>0</v>
      </c>
      <c r="L47" s="27">
        <f t="shared" si="23"/>
        <v>0</v>
      </c>
      <c r="M47" s="27">
        <f t="shared" si="23"/>
        <v>0</v>
      </c>
      <c r="N47" s="27"/>
      <c r="O47" s="27">
        <f t="shared" si="23"/>
        <v>0</v>
      </c>
      <c r="P47" s="27">
        <f t="shared" si="23"/>
        <v>0</v>
      </c>
      <c r="Q47" s="27">
        <f t="shared" si="23"/>
        <v>0</v>
      </c>
      <c r="R47" s="27"/>
      <c r="S47" s="27">
        <f t="shared" si="23"/>
        <v>0</v>
      </c>
      <c r="T47" s="27">
        <f t="shared" si="23"/>
        <v>0</v>
      </c>
      <c r="U47" s="27">
        <f t="shared" si="23"/>
        <v>0</v>
      </c>
      <c r="V47" s="27"/>
      <c r="W47" s="27">
        <f t="shared" si="23"/>
        <v>0</v>
      </c>
      <c r="X47" s="27">
        <f t="shared" si="23"/>
        <v>0</v>
      </c>
      <c r="Y47" s="27">
        <f t="shared" si="23"/>
        <v>0</v>
      </c>
      <c r="Z47" s="27"/>
      <c r="AA47" s="30">
        <f t="shared" si="23"/>
        <v>18889</v>
      </c>
      <c r="AB47" s="30">
        <f t="shared" si="23"/>
        <v>18889</v>
      </c>
      <c r="AC47" s="30">
        <f t="shared" si="23"/>
        <v>7412</v>
      </c>
      <c r="AD47" s="27">
        <f t="shared" si="23"/>
        <v>11477</v>
      </c>
    </row>
    <row r="48" spans="1:30" ht="16.5">
      <c r="A48" s="4" t="s">
        <v>90</v>
      </c>
      <c r="B48" s="4" t="s">
        <v>91</v>
      </c>
      <c r="C48" s="29">
        <v>18889</v>
      </c>
      <c r="D48" s="29">
        <v>18889</v>
      </c>
      <c r="E48" s="29">
        <f>1059+1+1056+1062+1059+1056+2+1056+5+1056</f>
        <v>7412</v>
      </c>
      <c r="F48" s="29">
        <f>C48-E48</f>
        <v>11477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6">
        <f>SUM(C48+G48+K48+O48+S48+W48)</f>
        <v>18889</v>
      </c>
      <c r="AB48" s="26">
        <f>SUM(D48+H48+L48+P48+T48+X48)</f>
        <v>18889</v>
      </c>
      <c r="AC48" s="26">
        <f>SUM(E48+I48+Q48+U48+M48+Y48)</f>
        <v>7412</v>
      </c>
      <c r="AD48" s="29">
        <f>AA48-AC48</f>
        <v>11477</v>
      </c>
    </row>
    <row r="49" spans="1:30" ht="16.5">
      <c r="A49" s="4" t="s">
        <v>92</v>
      </c>
      <c r="B49" s="4" t="s">
        <v>93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6">
        <f>SUM(C49+G49+K49+O49+S49+W49)</f>
        <v>0</v>
      </c>
      <c r="AB49" s="26">
        <f>SUM(D49+H49+L49+P49+T49+X49)</f>
        <v>0</v>
      </c>
      <c r="AC49" s="26">
        <f>SUM(E49+I49+Q49+U49+M49+Y49)</f>
        <v>0</v>
      </c>
      <c r="AD49" s="29">
        <f>AA49-AC49</f>
        <v>0</v>
      </c>
    </row>
    <row r="50" spans="1:30" ht="16.5">
      <c r="A50" s="5" t="s">
        <v>94</v>
      </c>
      <c r="B50" s="5" t="s">
        <v>95</v>
      </c>
      <c r="C50" s="27">
        <f>SUM(C51+C52+C53+C54)</f>
        <v>0</v>
      </c>
      <c r="D50" s="27">
        <f aca="true" t="shared" si="24" ref="D50:AD50">SUM(D51+D52+D53+D54)</f>
        <v>0</v>
      </c>
      <c r="E50" s="27">
        <f t="shared" si="24"/>
        <v>3373</v>
      </c>
      <c r="F50" s="27"/>
      <c r="G50" s="27">
        <f t="shared" si="24"/>
        <v>0</v>
      </c>
      <c r="H50" s="27">
        <f t="shared" si="24"/>
        <v>0</v>
      </c>
      <c r="I50" s="27">
        <f t="shared" si="24"/>
        <v>0</v>
      </c>
      <c r="J50" s="27"/>
      <c r="K50" s="27">
        <f t="shared" si="24"/>
        <v>0</v>
      </c>
      <c r="L50" s="27">
        <f t="shared" si="24"/>
        <v>0</v>
      </c>
      <c r="M50" s="27">
        <f t="shared" si="24"/>
        <v>0</v>
      </c>
      <c r="N50" s="27"/>
      <c r="O50" s="27">
        <f t="shared" si="24"/>
        <v>0</v>
      </c>
      <c r="P50" s="27">
        <f t="shared" si="24"/>
        <v>0</v>
      </c>
      <c r="Q50" s="27">
        <f t="shared" si="24"/>
        <v>0</v>
      </c>
      <c r="R50" s="27"/>
      <c r="S50" s="27">
        <f t="shared" si="24"/>
        <v>0</v>
      </c>
      <c r="T50" s="27">
        <f t="shared" si="24"/>
        <v>0</v>
      </c>
      <c r="U50" s="27">
        <f t="shared" si="24"/>
        <v>0</v>
      </c>
      <c r="V50" s="27"/>
      <c r="W50" s="27">
        <f t="shared" si="24"/>
        <v>0</v>
      </c>
      <c r="X50" s="27">
        <f t="shared" si="24"/>
        <v>0</v>
      </c>
      <c r="Y50" s="27">
        <f t="shared" si="24"/>
        <v>0</v>
      </c>
      <c r="Z50" s="27"/>
      <c r="AA50" s="30">
        <f t="shared" si="24"/>
        <v>0</v>
      </c>
      <c r="AB50" s="30">
        <f t="shared" si="24"/>
        <v>0</v>
      </c>
      <c r="AC50" s="30">
        <f t="shared" si="24"/>
        <v>3373</v>
      </c>
      <c r="AD50" s="27">
        <f t="shared" si="24"/>
        <v>-3373</v>
      </c>
    </row>
    <row r="51" spans="1:30" ht="16.5">
      <c r="A51" s="4" t="s">
        <v>96</v>
      </c>
      <c r="B51" s="4" t="s">
        <v>97</v>
      </c>
      <c r="C51" s="29"/>
      <c r="D51" s="29"/>
      <c r="E51" s="29">
        <f>496+440+551+496+413+454+523</f>
        <v>3373</v>
      </c>
      <c r="F51" s="29">
        <f>C51-E51</f>
        <v>-3373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6">
        <f aca="true" t="shared" si="25" ref="AA51:AB55">SUM(C51+G51+K51+O51+S51+W51)</f>
        <v>0</v>
      </c>
      <c r="AB51" s="26">
        <f t="shared" si="25"/>
        <v>0</v>
      </c>
      <c r="AC51" s="26">
        <f>SUM(E51+I51+Q51+U51+M51+Y51)</f>
        <v>3373</v>
      </c>
      <c r="AD51" s="29">
        <f>AA51-AC51</f>
        <v>-3373</v>
      </c>
    </row>
    <row r="52" spans="1:30" ht="16.5">
      <c r="A52" s="4" t="s">
        <v>98</v>
      </c>
      <c r="B52" s="4" t="s">
        <v>99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6">
        <f t="shared" si="25"/>
        <v>0</v>
      </c>
      <c r="AB52" s="26">
        <f t="shared" si="25"/>
        <v>0</v>
      </c>
      <c r="AC52" s="26">
        <f>SUM(E52+I52+Q52+U52+M52+Y52)</f>
        <v>0</v>
      </c>
      <c r="AD52" s="29">
        <f>AA52-AC52</f>
        <v>0</v>
      </c>
    </row>
    <row r="53" spans="1:30" ht="16.5">
      <c r="A53" s="4" t="s">
        <v>100</v>
      </c>
      <c r="B53" s="4" t="s">
        <v>101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6">
        <f t="shared" si="25"/>
        <v>0</v>
      </c>
      <c r="AB53" s="26">
        <f t="shared" si="25"/>
        <v>0</v>
      </c>
      <c r="AC53" s="26">
        <f>SUM(E53+I53+Q53+U53+M53+Y53)</f>
        <v>0</v>
      </c>
      <c r="AD53" s="29">
        <f>AA53-AC53</f>
        <v>0</v>
      </c>
    </row>
    <row r="54" spans="1:30" ht="16.5">
      <c r="A54" s="4" t="s">
        <v>102</v>
      </c>
      <c r="B54" s="4" t="s">
        <v>103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6">
        <f t="shared" si="25"/>
        <v>0</v>
      </c>
      <c r="AB54" s="26">
        <f t="shared" si="25"/>
        <v>0</v>
      </c>
      <c r="AC54" s="26">
        <f>SUM(E54+I54+Q54+U54+M54+Y54)</f>
        <v>0</v>
      </c>
      <c r="AD54" s="29">
        <f>AA54-AC54</f>
        <v>0</v>
      </c>
    </row>
    <row r="55" spans="1:31" ht="16.5">
      <c r="A55" s="5" t="s">
        <v>799</v>
      </c>
      <c r="B55" s="5" t="s">
        <v>800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6">
        <f t="shared" si="25"/>
        <v>0</v>
      </c>
      <c r="AB55" s="26">
        <f t="shared" si="25"/>
        <v>0</v>
      </c>
      <c r="AC55" s="26">
        <f>SUM(E55+I55+Q55+U55+M55+Y55)</f>
        <v>0</v>
      </c>
      <c r="AD55" s="29">
        <f>AA55-AC55</f>
        <v>0</v>
      </c>
      <c r="AE55" s="36" t="s">
        <v>798</v>
      </c>
    </row>
    <row r="56" spans="1:30" ht="16.5">
      <c r="A56" s="5" t="s">
        <v>104</v>
      </c>
      <c r="B56" s="5" t="s">
        <v>105</v>
      </c>
      <c r="C56" s="27">
        <f>SUM(C57+C58)</f>
        <v>0</v>
      </c>
      <c r="D56" s="27">
        <f aca="true" t="shared" si="26" ref="D56:AD56">SUM(D57+D58)</f>
        <v>0</v>
      </c>
      <c r="E56" s="27">
        <f t="shared" si="26"/>
        <v>0</v>
      </c>
      <c r="F56" s="27"/>
      <c r="G56" s="27">
        <f t="shared" si="26"/>
        <v>0</v>
      </c>
      <c r="H56" s="27">
        <f t="shared" si="26"/>
        <v>0</v>
      </c>
      <c r="I56" s="27">
        <f t="shared" si="26"/>
        <v>0</v>
      </c>
      <c r="J56" s="27"/>
      <c r="K56" s="27">
        <f t="shared" si="26"/>
        <v>0</v>
      </c>
      <c r="L56" s="27">
        <f t="shared" si="26"/>
        <v>0</v>
      </c>
      <c r="M56" s="27">
        <f t="shared" si="26"/>
        <v>0</v>
      </c>
      <c r="N56" s="27"/>
      <c r="O56" s="27">
        <f t="shared" si="26"/>
        <v>0</v>
      </c>
      <c r="P56" s="27">
        <f t="shared" si="26"/>
        <v>0</v>
      </c>
      <c r="Q56" s="27">
        <f t="shared" si="26"/>
        <v>0</v>
      </c>
      <c r="R56" s="27"/>
      <c r="S56" s="27">
        <f t="shared" si="26"/>
        <v>0</v>
      </c>
      <c r="T56" s="27">
        <f t="shared" si="26"/>
        <v>0</v>
      </c>
      <c r="U56" s="27">
        <f t="shared" si="26"/>
        <v>0</v>
      </c>
      <c r="V56" s="27"/>
      <c r="W56" s="27">
        <f t="shared" si="26"/>
        <v>0</v>
      </c>
      <c r="X56" s="27">
        <f t="shared" si="26"/>
        <v>0</v>
      </c>
      <c r="Y56" s="27">
        <f t="shared" si="26"/>
        <v>0</v>
      </c>
      <c r="Z56" s="27"/>
      <c r="AA56" s="28">
        <f t="shared" si="26"/>
        <v>0</v>
      </c>
      <c r="AB56" s="28">
        <f t="shared" si="26"/>
        <v>0</v>
      </c>
      <c r="AC56" s="28">
        <f t="shared" si="26"/>
        <v>0</v>
      </c>
      <c r="AD56" s="27">
        <f t="shared" si="26"/>
        <v>0</v>
      </c>
    </row>
    <row r="57" spans="1:30" ht="16.5">
      <c r="A57" s="4" t="s">
        <v>106</v>
      </c>
      <c r="B57" s="4" t="s">
        <v>107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6">
        <f aca="true" t="shared" si="27" ref="AA57:AB60">SUM(C57+G57+K57+O57+S57+W57)</f>
        <v>0</v>
      </c>
      <c r="AB57" s="26">
        <f t="shared" si="27"/>
        <v>0</v>
      </c>
      <c r="AC57" s="26">
        <f>SUM(E57+I57+Q57+U57+M57+Y57)</f>
        <v>0</v>
      </c>
      <c r="AD57" s="29">
        <f>AA57-AC57</f>
        <v>0</v>
      </c>
    </row>
    <row r="58" spans="1:30" ht="16.5">
      <c r="A58" s="4" t="s">
        <v>108</v>
      </c>
      <c r="B58" s="4" t="s">
        <v>109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6">
        <f t="shared" si="27"/>
        <v>0</v>
      </c>
      <c r="AB58" s="26">
        <f t="shared" si="27"/>
        <v>0</v>
      </c>
      <c r="AC58" s="26">
        <f>SUM(E58+I58+Q58+U58+M58+Y58)</f>
        <v>0</v>
      </c>
      <c r="AD58" s="29">
        <f>AA58-AC58</f>
        <v>0</v>
      </c>
    </row>
    <row r="59" spans="1:30" ht="16.5">
      <c r="A59" s="5" t="s">
        <v>110</v>
      </c>
      <c r="B59" s="5" t="s">
        <v>111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6">
        <f t="shared" si="27"/>
        <v>0</v>
      </c>
      <c r="AB59" s="26">
        <f t="shared" si="27"/>
        <v>0</v>
      </c>
      <c r="AC59" s="26">
        <f>SUM(E59+I59+Q59+U59+M59+Y59)</f>
        <v>0</v>
      </c>
      <c r="AD59" s="29">
        <f>AA59-AC59</f>
        <v>0</v>
      </c>
    </row>
    <row r="60" spans="1:30" ht="16.5">
      <c r="A60" s="5" t="s">
        <v>112</v>
      </c>
      <c r="B60" s="5" t="s">
        <v>113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6">
        <f t="shared" si="27"/>
        <v>0</v>
      </c>
      <c r="AB60" s="26">
        <f t="shared" si="27"/>
        <v>0</v>
      </c>
      <c r="AC60" s="26">
        <f>SUM(E60+I60+Q60+U60+M60+Y60)</f>
        <v>0</v>
      </c>
      <c r="AD60" s="29">
        <f>AA60-AC60</f>
        <v>0</v>
      </c>
    </row>
    <row r="61" spans="1:30" ht="16.5">
      <c r="A61" s="5" t="s">
        <v>114</v>
      </c>
      <c r="B61" s="5" t="s">
        <v>115</v>
      </c>
      <c r="C61" s="27">
        <f>SUM(C62+C63+C64+C65)</f>
        <v>0</v>
      </c>
      <c r="D61" s="27">
        <f aca="true" t="shared" si="28" ref="D61:AD61">SUM(D62+D63+D64+D65)</f>
        <v>0</v>
      </c>
      <c r="E61" s="27">
        <f t="shared" si="28"/>
        <v>0</v>
      </c>
      <c r="F61" s="27"/>
      <c r="G61" s="27">
        <f t="shared" si="28"/>
        <v>0</v>
      </c>
      <c r="H61" s="27">
        <f t="shared" si="28"/>
        <v>0</v>
      </c>
      <c r="I61" s="27">
        <f t="shared" si="28"/>
        <v>0</v>
      </c>
      <c r="J61" s="27"/>
      <c r="K61" s="27">
        <f t="shared" si="28"/>
        <v>0</v>
      </c>
      <c r="L61" s="27">
        <f t="shared" si="28"/>
        <v>0</v>
      </c>
      <c r="M61" s="27">
        <f t="shared" si="28"/>
        <v>0</v>
      </c>
      <c r="N61" s="27"/>
      <c r="O61" s="27">
        <f t="shared" si="28"/>
        <v>0</v>
      </c>
      <c r="P61" s="27">
        <f t="shared" si="28"/>
        <v>0</v>
      </c>
      <c r="Q61" s="27">
        <f t="shared" si="28"/>
        <v>0</v>
      </c>
      <c r="R61" s="27"/>
      <c r="S61" s="27">
        <f t="shared" si="28"/>
        <v>0</v>
      </c>
      <c r="T61" s="27">
        <f t="shared" si="28"/>
        <v>0</v>
      </c>
      <c r="U61" s="27">
        <f t="shared" si="28"/>
        <v>0</v>
      </c>
      <c r="V61" s="27"/>
      <c r="W61" s="27">
        <f t="shared" si="28"/>
        <v>0</v>
      </c>
      <c r="X61" s="27">
        <f t="shared" si="28"/>
        <v>0</v>
      </c>
      <c r="Y61" s="27">
        <f t="shared" si="28"/>
        <v>0</v>
      </c>
      <c r="Z61" s="27"/>
      <c r="AA61" s="30">
        <f t="shared" si="28"/>
        <v>0</v>
      </c>
      <c r="AB61" s="30">
        <f t="shared" si="28"/>
        <v>0</v>
      </c>
      <c r="AC61" s="30">
        <f t="shared" si="28"/>
        <v>0</v>
      </c>
      <c r="AD61" s="27">
        <f t="shared" si="28"/>
        <v>0</v>
      </c>
    </row>
    <row r="62" spans="1:30" ht="16.5">
      <c r="A62" s="4" t="s">
        <v>116</v>
      </c>
      <c r="B62" s="4" t="s">
        <v>117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6">
        <f aca="true" t="shared" si="29" ref="AA62:AB65">SUM(C62+G62+K62+O62+S62+W62)</f>
        <v>0</v>
      </c>
      <c r="AB62" s="26">
        <f t="shared" si="29"/>
        <v>0</v>
      </c>
      <c r="AC62" s="26">
        <f>SUM(E62+I62+Q62+U62+M62+Y62)</f>
        <v>0</v>
      </c>
      <c r="AD62" s="29">
        <f>AA62-AC62</f>
        <v>0</v>
      </c>
    </row>
    <row r="63" spans="1:30" ht="16.5">
      <c r="A63" s="4" t="s">
        <v>118</v>
      </c>
      <c r="B63" s="4" t="s">
        <v>119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6">
        <f t="shared" si="29"/>
        <v>0</v>
      </c>
      <c r="AB63" s="26">
        <f t="shared" si="29"/>
        <v>0</v>
      </c>
      <c r="AC63" s="26">
        <f>SUM(E63+I63+Q63+U63+M63+Y63)</f>
        <v>0</v>
      </c>
      <c r="AD63" s="29">
        <f>AA63-AC63</f>
        <v>0</v>
      </c>
    </row>
    <row r="64" spans="1:30" ht="16.5">
      <c r="A64" s="4" t="s">
        <v>120</v>
      </c>
      <c r="B64" s="4" t="s">
        <v>121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6">
        <f t="shared" si="29"/>
        <v>0</v>
      </c>
      <c r="AB64" s="26">
        <f t="shared" si="29"/>
        <v>0</v>
      </c>
      <c r="AC64" s="26">
        <f>SUM(E64+I64+Q64+U64+M64+Y64)</f>
        <v>0</v>
      </c>
      <c r="AD64" s="29">
        <f>AA64-AC64</f>
        <v>0</v>
      </c>
    </row>
    <row r="65" spans="1:30" ht="16.5">
      <c r="A65" s="4" t="s">
        <v>122</v>
      </c>
      <c r="B65" s="4" t="s">
        <v>123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6">
        <f t="shared" si="29"/>
        <v>0</v>
      </c>
      <c r="AB65" s="26">
        <f t="shared" si="29"/>
        <v>0</v>
      </c>
      <c r="AC65" s="26">
        <f>SUM(E65+I65+Q65+U65+M65+Y65)</f>
        <v>0</v>
      </c>
      <c r="AD65" s="29">
        <f>AA65-AC65</f>
        <v>0</v>
      </c>
    </row>
    <row r="66" spans="1:30" ht="16.5">
      <c r="A66" s="5" t="s">
        <v>124</v>
      </c>
      <c r="B66" s="5" t="s">
        <v>125</v>
      </c>
      <c r="C66" s="27">
        <f>SUM(C67+C68)</f>
        <v>0</v>
      </c>
      <c r="D66" s="27">
        <f aca="true" t="shared" si="30" ref="D66:AD66">SUM(D67+D68)</f>
        <v>0</v>
      </c>
      <c r="E66" s="27">
        <f t="shared" si="30"/>
        <v>0</v>
      </c>
      <c r="F66" s="27"/>
      <c r="G66" s="27">
        <f t="shared" si="30"/>
        <v>0</v>
      </c>
      <c r="H66" s="27">
        <f t="shared" si="30"/>
        <v>0</v>
      </c>
      <c r="I66" s="27">
        <f t="shared" si="30"/>
        <v>0</v>
      </c>
      <c r="J66" s="27"/>
      <c r="K66" s="27">
        <f t="shared" si="30"/>
        <v>0</v>
      </c>
      <c r="L66" s="27">
        <f t="shared" si="30"/>
        <v>0</v>
      </c>
      <c r="M66" s="27">
        <f t="shared" si="30"/>
        <v>0</v>
      </c>
      <c r="N66" s="27"/>
      <c r="O66" s="27">
        <f t="shared" si="30"/>
        <v>0</v>
      </c>
      <c r="P66" s="27">
        <f t="shared" si="30"/>
        <v>0</v>
      </c>
      <c r="Q66" s="27">
        <f t="shared" si="30"/>
        <v>0</v>
      </c>
      <c r="R66" s="27"/>
      <c r="S66" s="27">
        <f t="shared" si="30"/>
        <v>0</v>
      </c>
      <c r="T66" s="27">
        <f t="shared" si="30"/>
        <v>0</v>
      </c>
      <c r="U66" s="27">
        <f t="shared" si="30"/>
        <v>0</v>
      </c>
      <c r="V66" s="27"/>
      <c r="W66" s="27">
        <f t="shared" si="30"/>
        <v>0</v>
      </c>
      <c r="X66" s="27">
        <f t="shared" si="30"/>
        <v>0</v>
      </c>
      <c r="Y66" s="27">
        <f t="shared" si="30"/>
        <v>0</v>
      </c>
      <c r="Z66" s="27"/>
      <c r="AA66" s="30">
        <f t="shared" si="30"/>
        <v>0</v>
      </c>
      <c r="AB66" s="30">
        <f t="shared" si="30"/>
        <v>0</v>
      </c>
      <c r="AC66" s="30">
        <f t="shared" si="30"/>
        <v>0</v>
      </c>
      <c r="AD66" s="27">
        <f t="shared" si="30"/>
        <v>0</v>
      </c>
    </row>
    <row r="67" spans="1:30" ht="16.5">
      <c r="A67" s="4" t="s">
        <v>126</v>
      </c>
      <c r="B67" s="4" t="s">
        <v>127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6">
        <f aca="true" t="shared" si="31" ref="AA67:AA72">SUM(C67+G67+K67+O67+S67+W67)</f>
        <v>0</v>
      </c>
      <c r="AB67" s="26">
        <f aca="true" t="shared" si="32" ref="AB67:AB72">SUM(D67+H67+L67+P67+T67+X67)</f>
        <v>0</v>
      </c>
      <c r="AC67" s="26">
        <f aca="true" t="shared" si="33" ref="AC67:AC72">SUM(E67+I67+Q67+U67+M67+Y67)</f>
        <v>0</v>
      </c>
      <c r="AD67" s="25">
        <f aca="true" t="shared" si="34" ref="AD67:AD72">AA67-AC67</f>
        <v>0</v>
      </c>
    </row>
    <row r="68" spans="1:30" ht="16.5">
      <c r="A68" s="4" t="s">
        <v>128</v>
      </c>
      <c r="B68" s="4" t="s">
        <v>129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6">
        <f t="shared" si="31"/>
        <v>0</v>
      </c>
      <c r="AB68" s="26">
        <f t="shared" si="32"/>
        <v>0</v>
      </c>
      <c r="AC68" s="26">
        <f t="shared" si="33"/>
        <v>0</v>
      </c>
      <c r="AD68" s="25">
        <f t="shared" si="34"/>
        <v>0</v>
      </c>
    </row>
    <row r="69" spans="1:30" ht="16.5">
      <c r="A69" s="5" t="s">
        <v>130</v>
      </c>
      <c r="B69" s="5" t="s">
        <v>131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6">
        <f t="shared" si="31"/>
        <v>0</v>
      </c>
      <c r="AB69" s="26">
        <f t="shared" si="32"/>
        <v>0</v>
      </c>
      <c r="AC69" s="26">
        <f t="shared" si="33"/>
        <v>0</v>
      </c>
      <c r="AD69" s="25">
        <f t="shared" si="34"/>
        <v>0</v>
      </c>
    </row>
    <row r="70" spans="1:30" ht="16.5">
      <c r="A70" s="5" t="s">
        <v>132</v>
      </c>
      <c r="B70" s="5" t="s">
        <v>133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6">
        <f t="shared" si="31"/>
        <v>0</v>
      </c>
      <c r="AB70" s="26">
        <f t="shared" si="32"/>
        <v>0</v>
      </c>
      <c r="AC70" s="26">
        <f t="shared" si="33"/>
        <v>0</v>
      </c>
      <c r="AD70" s="25">
        <f t="shared" si="34"/>
        <v>0</v>
      </c>
    </row>
    <row r="71" spans="1:30" ht="16.5">
      <c r="A71" s="5" t="s">
        <v>134</v>
      </c>
      <c r="B71" s="5" t="s">
        <v>135</v>
      </c>
      <c r="C71" s="25">
        <v>45191</v>
      </c>
      <c r="D71" s="25">
        <v>45191</v>
      </c>
      <c r="E71" s="25">
        <v>0</v>
      </c>
      <c r="F71" s="25">
        <f>C71-E71</f>
        <v>45191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>
        <f t="shared" si="31"/>
        <v>45191</v>
      </c>
      <c r="AB71" s="26">
        <f t="shared" si="32"/>
        <v>45191</v>
      </c>
      <c r="AC71" s="26">
        <f t="shared" si="33"/>
        <v>0</v>
      </c>
      <c r="AD71" s="25">
        <f t="shared" si="34"/>
        <v>45191</v>
      </c>
    </row>
    <row r="72" spans="1:30" ht="16.5">
      <c r="A72" s="5" t="s">
        <v>136</v>
      </c>
      <c r="B72" s="5" t="s">
        <v>137</v>
      </c>
      <c r="C72" s="25">
        <v>24048</v>
      </c>
      <c r="D72" s="25">
        <v>24048</v>
      </c>
      <c r="E72" s="25">
        <f>1976+1977+1977+1977+1977+1977+1977</f>
        <v>13838</v>
      </c>
      <c r="F72" s="25">
        <f>C72-E72</f>
        <v>10210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6">
        <f t="shared" si="31"/>
        <v>24048</v>
      </c>
      <c r="AB72" s="26">
        <f t="shared" si="32"/>
        <v>24048</v>
      </c>
      <c r="AC72" s="26">
        <f t="shared" si="33"/>
        <v>13838</v>
      </c>
      <c r="AD72" s="25">
        <f t="shared" si="34"/>
        <v>10210</v>
      </c>
    </row>
    <row r="73" spans="1:30" ht="16.5">
      <c r="A73" s="5" t="s">
        <v>138</v>
      </c>
      <c r="B73" s="5" t="s">
        <v>139</v>
      </c>
      <c r="C73" s="27">
        <f>SUM(C74)</f>
        <v>0</v>
      </c>
      <c r="D73" s="27">
        <f aca="true" t="shared" si="35" ref="D73:AD73">SUM(D74)</f>
        <v>0</v>
      </c>
      <c r="E73" s="27">
        <f t="shared" si="35"/>
        <v>0</v>
      </c>
      <c r="F73" s="27"/>
      <c r="G73" s="27">
        <f t="shared" si="35"/>
        <v>0</v>
      </c>
      <c r="H73" s="27">
        <f t="shared" si="35"/>
        <v>0</v>
      </c>
      <c r="I73" s="27">
        <f t="shared" si="35"/>
        <v>0</v>
      </c>
      <c r="J73" s="27"/>
      <c r="K73" s="27">
        <f t="shared" si="35"/>
        <v>0</v>
      </c>
      <c r="L73" s="27">
        <f t="shared" si="35"/>
        <v>0</v>
      </c>
      <c r="M73" s="27">
        <f t="shared" si="35"/>
        <v>0</v>
      </c>
      <c r="N73" s="27"/>
      <c r="O73" s="27">
        <f t="shared" si="35"/>
        <v>0</v>
      </c>
      <c r="P73" s="27">
        <f t="shared" si="35"/>
        <v>0</v>
      </c>
      <c r="Q73" s="27">
        <f t="shared" si="35"/>
        <v>0</v>
      </c>
      <c r="R73" s="27"/>
      <c r="S73" s="27">
        <f t="shared" si="35"/>
        <v>0</v>
      </c>
      <c r="T73" s="27">
        <f t="shared" si="35"/>
        <v>0</v>
      </c>
      <c r="U73" s="27">
        <f t="shared" si="35"/>
        <v>0</v>
      </c>
      <c r="V73" s="27"/>
      <c r="W73" s="27">
        <f t="shared" si="35"/>
        <v>0</v>
      </c>
      <c r="X73" s="27">
        <f t="shared" si="35"/>
        <v>0</v>
      </c>
      <c r="Y73" s="27">
        <f t="shared" si="35"/>
        <v>0</v>
      </c>
      <c r="Z73" s="27"/>
      <c r="AA73" s="30">
        <f t="shared" si="35"/>
        <v>0</v>
      </c>
      <c r="AB73" s="30">
        <f t="shared" si="35"/>
        <v>0</v>
      </c>
      <c r="AC73" s="30">
        <f t="shared" si="35"/>
        <v>0</v>
      </c>
      <c r="AD73" s="27">
        <f t="shared" si="35"/>
        <v>0</v>
      </c>
    </row>
    <row r="74" spans="1:30" ht="16.5">
      <c r="A74" s="4" t="s">
        <v>140</v>
      </c>
      <c r="B74" s="4" t="s">
        <v>141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6">
        <f>SUM(C74+G74+K74+O74+S74+W74)</f>
        <v>0</v>
      </c>
      <c r="AB74" s="26">
        <f>SUM(D74+H74+L74+P74+T74+X74)</f>
        <v>0</v>
      </c>
      <c r="AC74" s="26">
        <f>SUM(E74+I74+Q74+U74+M74+Y74)</f>
        <v>0</v>
      </c>
      <c r="AD74" s="25">
        <f>AA74-AC74</f>
        <v>0</v>
      </c>
    </row>
    <row r="75" spans="1:30" ht="16.5">
      <c r="A75" s="5" t="s">
        <v>142</v>
      </c>
      <c r="B75" s="5" t="s">
        <v>143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6">
        <f>SUM(C75+G75+K75+O75+S75+W75)</f>
        <v>0</v>
      </c>
      <c r="AB75" s="26">
        <f>SUM(D75+H75+L75+P75+T75+X75)</f>
        <v>0</v>
      </c>
      <c r="AC75" s="26">
        <f>SUM(E75+I75+Q75+U75+M75+Y75)</f>
        <v>0</v>
      </c>
      <c r="AD75" s="25">
        <f>AA75-AC75</f>
        <v>0</v>
      </c>
    </row>
    <row r="76" spans="1:30" ht="16.5">
      <c r="A76" s="8" t="s">
        <v>144</v>
      </c>
      <c r="B76" s="8" t="s">
        <v>145</v>
      </c>
      <c r="C76" s="24">
        <f>SUM(C77+C78)</f>
        <v>15263</v>
      </c>
      <c r="D76" s="24">
        <f aca="true" t="shared" si="36" ref="D76:AD76">SUM(D77+D78)</f>
        <v>15263</v>
      </c>
      <c r="E76" s="24">
        <f t="shared" si="36"/>
        <v>9123</v>
      </c>
      <c r="F76" s="24"/>
      <c r="G76" s="24">
        <f t="shared" si="36"/>
        <v>0</v>
      </c>
      <c r="H76" s="24">
        <f t="shared" si="36"/>
        <v>0</v>
      </c>
      <c r="I76" s="24">
        <f t="shared" si="36"/>
        <v>0</v>
      </c>
      <c r="J76" s="24"/>
      <c r="K76" s="24">
        <f t="shared" si="36"/>
        <v>0</v>
      </c>
      <c r="L76" s="24">
        <f t="shared" si="36"/>
        <v>0</v>
      </c>
      <c r="M76" s="24">
        <f t="shared" si="36"/>
        <v>0</v>
      </c>
      <c r="N76" s="24"/>
      <c r="O76" s="24">
        <f t="shared" si="36"/>
        <v>0</v>
      </c>
      <c r="P76" s="24">
        <f t="shared" si="36"/>
        <v>0</v>
      </c>
      <c r="Q76" s="24">
        <f t="shared" si="36"/>
        <v>0</v>
      </c>
      <c r="R76" s="24"/>
      <c r="S76" s="24">
        <f t="shared" si="36"/>
        <v>0</v>
      </c>
      <c r="T76" s="24">
        <f t="shared" si="36"/>
        <v>0</v>
      </c>
      <c r="U76" s="24">
        <f t="shared" si="36"/>
        <v>0</v>
      </c>
      <c r="V76" s="24"/>
      <c r="W76" s="24">
        <f t="shared" si="36"/>
        <v>0</v>
      </c>
      <c r="X76" s="24">
        <f t="shared" si="36"/>
        <v>0</v>
      </c>
      <c r="Y76" s="24">
        <f t="shared" si="36"/>
        <v>0</v>
      </c>
      <c r="Z76" s="24"/>
      <c r="AA76" s="31">
        <f t="shared" si="36"/>
        <v>15263</v>
      </c>
      <c r="AB76" s="31">
        <f t="shared" si="36"/>
        <v>15263</v>
      </c>
      <c r="AC76" s="31">
        <f t="shared" si="36"/>
        <v>9123</v>
      </c>
      <c r="AD76" s="24">
        <f t="shared" si="36"/>
        <v>6140</v>
      </c>
    </row>
    <row r="77" spans="1:30" ht="16.5">
      <c r="A77" s="5" t="s">
        <v>146</v>
      </c>
      <c r="B77" s="5" t="s">
        <v>147</v>
      </c>
      <c r="C77" s="25">
        <v>6256</v>
      </c>
      <c r="D77" s="25">
        <v>6256</v>
      </c>
      <c r="E77" s="25">
        <f>3956</f>
        <v>3956</v>
      </c>
      <c r="F77" s="25">
        <f>C77-E77</f>
        <v>2300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6">
        <f>SUM(C77+G77+K77+O77+S77+W77)</f>
        <v>6256</v>
      </c>
      <c r="AB77" s="26">
        <f>SUM(D77+H77+L77+P77+T77+X77)</f>
        <v>6256</v>
      </c>
      <c r="AC77" s="26">
        <f>SUM(E77+I77+Q77+U77+M77+Y77)</f>
        <v>3956</v>
      </c>
      <c r="AD77" s="25">
        <f>AA77-AC77</f>
        <v>2300</v>
      </c>
    </row>
    <row r="78" spans="1:30" ht="16.5">
      <c r="A78" s="5" t="s">
        <v>148</v>
      </c>
      <c r="B78" s="5" t="s">
        <v>149</v>
      </c>
      <c r="C78" s="25">
        <v>9007</v>
      </c>
      <c r="D78" s="25">
        <v>9007</v>
      </c>
      <c r="E78" s="25">
        <f>709+690+917+710+277+959+905</f>
        <v>5167</v>
      </c>
      <c r="F78" s="25">
        <f>C78-E78</f>
        <v>3840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6">
        <f>SUM(C78+G78+K78+O78+S78+W78)</f>
        <v>9007</v>
      </c>
      <c r="AB78" s="26">
        <f>SUM(D78+H78+L78+P78+T78+X78)</f>
        <v>9007</v>
      </c>
      <c r="AC78" s="26">
        <f>SUM(E78+I78+Q78+U78+M78+Y78)</f>
        <v>5167</v>
      </c>
      <c r="AD78" s="25">
        <f>AA78-AC78</f>
        <v>3840</v>
      </c>
    </row>
    <row r="79" spans="1:30" ht="16.5">
      <c r="A79" s="8" t="s">
        <v>150</v>
      </c>
      <c r="B79" s="8" t="s">
        <v>151</v>
      </c>
      <c r="C79" s="24">
        <f>SUM(C80+C83+C87)</f>
        <v>73553</v>
      </c>
      <c r="D79" s="24">
        <f aca="true" t="shared" si="37" ref="D79:AD79">SUM(D80+D83+D87)</f>
        <v>73553</v>
      </c>
      <c r="E79" s="24">
        <f t="shared" si="37"/>
        <v>12622</v>
      </c>
      <c r="F79" s="24"/>
      <c r="G79" s="24">
        <f t="shared" si="37"/>
        <v>0</v>
      </c>
      <c r="H79" s="24">
        <f t="shared" si="37"/>
        <v>0</v>
      </c>
      <c r="I79" s="24">
        <f t="shared" si="37"/>
        <v>0</v>
      </c>
      <c r="J79" s="24"/>
      <c r="K79" s="24">
        <f t="shared" si="37"/>
        <v>0</v>
      </c>
      <c r="L79" s="24">
        <f t="shared" si="37"/>
        <v>0</v>
      </c>
      <c r="M79" s="24">
        <f t="shared" si="37"/>
        <v>0</v>
      </c>
      <c r="N79" s="24"/>
      <c r="O79" s="24">
        <f t="shared" si="37"/>
        <v>0</v>
      </c>
      <c r="P79" s="24">
        <f t="shared" si="37"/>
        <v>0</v>
      </c>
      <c r="Q79" s="24">
        <f t="shared" si="37"/>
        <v>0</v>
      </c>
      <c r="R79" s="24"/>
      <c r="S79" s="24">
        <f t="shared" si="37"/>
        <v>0</v>
      </c>
      <c r="T79" s="24">
        <f t="shared" si="37"/>
        <v>0</v>
      </c>
      <c r="U79" s="24">
        <f t="shared" si="37"/>
        <v>0</v>
      </c>
      <c r="V79" s="24"/>
      <c r="W79" s="24">
        <f t="shared" si="37"/>
        <v>0</v>
      </c>
      <c r="X79" s="24">
        <f t="shared" si="37"/>
        <v>0</v>
      </c>
      <c r="Y79" s="24">
        <f t="shared" si="37"/>
        <v>0</v>
      </c>
      <c r="Z79" s="24"/>
      <c r="AA79" s="31">
        <f t="shared" si="37"/>
        <v>73553</v>
      </c>
      <c r="AB79" s="31">
        <f t="shared" si="37"/>
        <v>73553</v>
      </c>
      <c r="AC79" s="31">
        <f t="shared" si="37"/>
        <v>12622</v>
      </c>
      <c r="AD79" s="24">
        <f t="shared" si="37"/>
        <v>60931</v>
      </c>
    </row>
    <row r="80" spans="1:30" ht="16.5">
      <c r="A80" s="5" t="s">
        <v>152</v>
      </c>
      <c r="B80" s="5" t="s">
        <v>153</v>
      </c>
      <c r="C80" s="27">
        <f>SUM(C81+C82)</f>
        <v>73553</v>
      </c>
      <c r="D80" s="27">
        <f aca="true" t="shared" si="38" ref="D80:AD80">SUM(D81+D82)</f>
        <v>73553</v>
      </c>
      <c r="E80" s="27">
        <f t="shared" si="38"/>
        <v>12622</v>
      </c>
      <c r="F80" s="27"/>
      <c r="G80" s="27">
        <f t="shared" si="38"/>
        <v>0</v>
      </c>
      <c r="H80" s="27">
        <f t="shared" si="38"/>
        <v>0</v>
      </c>
      <c r="I80" s="27">
        <f t="shared" si="38"/>
        <v>0</v>
      </c>
      <c r="J80" s="27"/>
      <c r="K80" s="27">
        <f t="shared" si="38"/>
        <v>0</v>
      </c>
      <c r="L80" s="27">
        <f t="shared" si="38"/>
        <v>0</v>
      </c>
      <c r="M80" s="27">
        <f t="shared" si="38"/>
        <v>0</v>
      </c>
      <c r="N80" s="27"/>
      <c r="O80" s="27">
        <f t="shared" si="38"/>
        <v>0</v>
      </c>
      <c r="P80" s="27">
        <f t="shared" si="38"/>
        <v>0</v>
      </c>
      <c r="Q80" s="27">
        <f t="shared" si="38"/>
        <v>0</v>
      </c>
      <c r="R80" s="27"/>
      <c r="S80" s="27">
        <f t="shared" si="38"/>
        <v>0</v>
      </c>
      <c r="T80" s="27">
        <f t="shared" si="38"/>
        <v>0</v>
      </c>
      <c r="U80" s="27">
        <f t="shared" si="38"/>
        <v>0</v>
      </c>
      <c r="V80" s="27"/>
      <c r="W80" s="27">
        <f t="shared" si="38"/>
        <v>0</v>
      </c>
      <c r="X80" s="27">
        <f t="shared" si="38"/>
        <v>0</v>
      </c>
      <c r="Y80" s="27">
        <f t="shared" si="38"/>
        <v>0</v>
      </c>
      <c r="Z80" s="27"/>
      <c r="AA80" s="30">
        <f t="shared" si="38"/>
        <v>73553</v>
      </c>
      <c r="AB80" s="30">
        <f t="shared" si="38"/>
        <v>73553</v>
      </c>
      <c r="AC80" s="30">
        <f t="shared" si="38"/>
        <v>12622</v>
      </c>
      <c r="AD80" s="27">
        <f t="shared" si="38"/>
        <v>60931</v>
      </c>
    </row>
    <row r="81" spans="1:30" ht="16.5">
      <c r="A81" s="4" t="s">
        <v>154</v>
      </c>
      <c r="B81" s="4" t="s">
        <v>155</v>
      </c>
      <c r="C81" s="29">
        <v>73553</v>
      </c>
      <c r="D81" s="29">
        <v>73553</v>
      </c>
      <c r="E81" s="29">
        <f>6311+6311</f>
        <v>12622</v>
      </c>
      <c r="F81" s="29">
        <f>C81-E81</f>
        <v>60931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6">
        <f>SUM(C81+G81+K81+O81+S81+W81)</f>
        <v>73553</v>
      </c>
      <c r="AB81" s="26">
        <f>SUM(D81+H81+L81+P81+T81+X81)</f>
        <v>73553</v>
      </c>
      <c r="AC81" s="26">
        <f>SUM(E81+I81+Q81+U81+M81+Y81)</f>
        <v>12622</v>
      </c>
      <c r="AD81" s="29">
        <f>AA81-AC81</f>
        <v>60931</v>
      </c>
    </row>
    <row r="82" spans="1:30" ht="16.5">
      <c r="A82" s="4" t="s">
        <v>156</v>
      </c>
      <c r="B82" s="4" t="s">
        <v>157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6">
        <f>SUM(C82+G82+K82+O82+S82+W82)</f>
        <v>0</v>
      </c>
      <c r="AB82" s="26">
        <f>SUM(D82+H82+L82+P82+T82+X82)</f>
        <v>0</v>
      </c>
      <c r="AC82" s="26">
        <f>SUM(E82+I82+Q82+U82+M82+Y82)</f>
        <v>0</v>
      </c>
      <c r="AD82" s="29">
        <f>AA82-AC82</f>
        <v>0</v>
      </c>
    </row>
    <row r="83" spans="1:30" ht="16.5">
      <c r="A83" s="5" t="s">
        <v>158</v>
      </c>
      <c r="B83" s="5" t="s">
        <v>159</v>
      </c>
      <c r="C83" s="27">
        <f>SUM(C84+C85+C86)</f>
        <v>0</v>
      </c>
      <c r="D83" s="27">
        <f aca="true" t="shared" si="39" ref="D83:AD83">SUM(D84+D85+D86)</f>
        <v>0</v>
      </c>
      <c r="E83" s="27">
        <f t="shared" si="39"/>
        <v>0</v>
      </c>
      <c r="F83" s="27"/>
      <c r="G83" s="27">
        <f t="shared" si="39"/>
        <v>0</v>
      </c>
      <c r="H83" s="27">
        <f t="shared" si="39"/>
        <v>0</v>
      </c>
      <c r="I83" s="27">
        <f t="shared" si="39"/>
        <v>0</v>
      </c>
      <c r="J83" s="27"/>
      <c r="K83" s="27">
        <f t="shared" si="39"/>
        <v>0</v>
      </c>
      <c r="L83" s="27">
        <f t="shared" si="39"/>
        <v>0</v>
      </c>
      <c r="M83" s="27">
        <f t="shared" si="39"/>
        <v>0</v>
      </c>
      <c r="N83" s="27"/>
      <c r="O83" s="27">
        <f t="shared" si="39"/>
        <v>0</v>
      </c>
      <c r="P83" s="27">
        <f t="shared" si="39"/>
        <v>0</v>
      </c>
      <c r="Q83" s="27">
        <f t="shared" si="39"/>
        <v>0</v>
      </c>
      <c r="R83" s="27"/>
      <c r="S83" s="27">
        <f t="shared" si="39"/>
        <v>0</v>
      </c>
      <c r="T83" s="27">
        <f t="shared" si="39"/>
        <v>0</v>
      </c>
      <c r="U83" s="27">
        <f t="shared" si="39"/>
        <v>0</v>
      </c>
      <c r="V83" s="27"/>
      <c r="W83" s="27">
        <f t="shared" si="39"/>
        <v>0</v>
      </c>
      <c r="X83" s="27">
        <f t="shared" si="39"/>
        <v>0</v>
      </c>
      <c r="Y83" s="27">
        <f t="shared" si="39"/>
        <v>0</v>
      </c>
      <c r="Z83" s="27"/>
      <c r="AA83" s="30">
        <f t="shared" si="39"/>
        <v>0</v>
      </c>
      <c r="AB83" s="30">
        <f t="shared" si="39"/>
        <v>0</v>
      </c>
      <c r="AC83" s="30">
        <f t="shared" si="39"/>
        <v>0</v>
      </c>
      <c r="AD83" s="27">
        <f t="shared" si="39"/>
        <v>0</v>
      </c>
    </row>
    <row r="84" spans="1:30" ht="16.5">
      <c r="A84" s="4" t="s">
        <v>160</v>
      </c>
      <c r="B84" s="4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6">
        <f aca="true" t="shared" si="40" ref="AA84:AB86">SUM(C84+G84+K84+O84+S84+W84)</f>
        <v>0</v>
      </c>
      <c r="AB84" s="26">
        <f t="shared" si="40"/>
        <v>0</v>
      </c>
      <c r="AC84" s="26">
        <f>SUM(E84+I84+Q84+U84+M84+Y84)</f>
        <v>0</v>
      </c>
      <c r="AD84" s="29">
        <f>AA84-AC84</f>
        <v>0</v>
      </c>
    </row>
    <row r="85" spans="1:30" ht="16.5">
      <c r="A85" s="4" t="s">
        <v>161</v>
      </c>
      <c r="B85" s="4" t="s">
        <v>162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6">
        <f t="shared" si="40"/>
        <v>0</v>
      </c>
      <c r="AB85" s="26">
        <f t="shared" si="40"/>
        <v>0</v>
      </c>
      <c r="AC85" s="26">
        <f>SUM(E85+I85+Q85+U85+M85+Y85)</f>
        <v>0</v>
      </c>
      <c r="AD85" s="29">
        <f>AA85-AC85</f>
        <v>0</v>
      </c>
    </row>
    <row r="86" spans="1:30" ht="16.5">
      <c r="A86" s="4" t="s">
        <v>163</v>
      </c>
      <c r="B86" s="4" t="s">
        <v>164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6">
        <f t="shared" si="40"/>
        <v>0</v>
      </c>
      <c r="AB86" s="26">
        <f t="shared" si="40"/>
        <v>0</v>
      </c>
      <c r="AC86" s="26">
        <f>SUM(E86+I86+Q86+U86+M86+Y86)</f>
        <v>0</v>
      </c>
      <c r="AD86" s="29">
        <f>AA86-AC86</f>
        <v>0</v>
      </c>
    </row>
    <row r="87" spans="1:30" ht="16.5">
      <c r="A87" s="5" t="s">
        <v>165</v>
      </c>
      <c r="B87" s="5" t="s">
        <v>166</v>
      </c>
      <c r="C87" s="27">
        <f>SUM(C88+C89+C90+C91+C92)</f>
        <v>0</v>
      </c>
      <c r="D87" s="27">
        <f aca="true" t="shared" si="41" ref="D87:AD87">SUM(D88+D89+D90+D91+D92)</f>
        <v>0</v>
      </c>
      <c r="E87" s="27">
        <f t="shared" si="41"/>
        <v>0</v>
      </c>
      <c r="F87" s="27"/>
      <c r="G87" s="27">
        <f t="shared" si="41"/>
        <v>0</v>
      </c>
      <c r="H87" s="27">
        <f t="shared" si="41"/>
        <v>0</v>
      </c>
      <c r="I87" s="27">
        <f t="shared" si="41"/>
        <v>0</v>
      </c>
      <c r="J87" s="27"/>
      <c r="K87" s="27">
        <f t="shared" si="41"/>
        <v>0</v>
      </c>
      <c r="L87" s="27">
        <f t="shared" si="41"/>
        <v>0</v>
      </c>
      <c r="M87" s="27">
        <f t="shared" si="41"/>
        <v>0</v>
      </c>
      <c r="N87" s="27"/>
      <c r="O87" s="27">
        <f t="shared" si="41"/>
        <v>0</v>
      </c>
      <c r="P87" s="27">
        <f t="shared" si="41"/>
        <v>0</v>
      </c>
      <c r="Q87" s="27">
        <f t="shared" si="41"/>
        <v>0</v>
      </c>
      <c r="R87" s="27"/>
      <c r="S87" s="27">
        <f t="shared" si="41"/>
        <v>0</v>
      </c>
      <c r="T87" s="27">
        <f t="shared" si="41"/>
        <v>0</v>
      </c>
      <c r="U87" s="27">
        <f t="shared" si="41"/>
        <v>0</v>
      </c>
      <c r="V87" s="27"/>
      <c r="W87" s="27">
        <f t="shared" si="41"/>
        <v>0</v>
      </c>
      <c r="X87" s="27">
        <f t="shared" si="41"/>
        <v>0</v>
      </c>
      <c r="Y87" s="27">
        <f t="shared" si="41"/>
        <v>0</v>
      </c>
      <c r="Z87" s="27"/>
      <c r="AA87" s="30">
        <f t="shared" si="41"/>
        <v>0</v>
      </c>
      <c r="AB87" s="30">
        <f t="shared" si="41"/>
        <v>0</v>
      </c>
      <c r="AC87" s="30">
        <f t="shared" si="41"/>
        <v>0</v>
      </c>
      <c r="AD87" s="27">
        <f t="shared" si="41"/>
        <v>0</v>
      </c>
    </row>
    <row r="88" spans="1:30" ht="16.5">
      <c r="A88" s="4" t="s">
        <v>167</v>
      </c>
      <c r="B88" s="4" t="s">
        <v>155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6">
        <f aca="true" t="shared" si="42" ref="AA88:AB92">SUM(C88+G88+K88+O88+S88+W88)</f>
        <v>0</v>
      </c>
      <c r="AB88" s="26">
        <f t="shared" si="42"/>
        <v>0</v>
      </c>
      <c r="AC88" s="26">
        <f>SUM(E88+I88+Q88+U88+M88+Y88)</f>
        <v>0</v>
      </c>
      <c r="AD88" s="29">
        <f>AA88-AC88</f>
        <v>0</v>
      </c>
    </row>
    <row r="89" spans="1:30" ht="16.5">
      <c r="A89" s="4" t="s">
        <v>168</v>
      </c>
      <c r="B89" s="4" t="s">
        <v>169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6">
        <f t="shared" si="42"/>
        <v>0</v>
      </c>
      <c r="AB89" s="26">
        <f t="shared" si="42"/>
        <v>0</v>
      </c>
      <c r="AC89" s="26">
        <f>SUM(E89+I89+Q89+U89+M89+Y89)</f>
        <v>0</v>
      </c>
      <c r="AD89" s="29">
        <f>AA89-AC89</f>
        <v>0</v>
      </c>
    </row>
    <row r="90" spans="1:30" ht="16.5">
      <c r="A90" s="4" t="s">
        <v>170</v>
      </c>
      <c r="B90" s="4" t="s">
        <v>171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6">
        <f t="shared" si="42"/>
        <v>0</v>
      </c>
      <c r="AB90" s="26">
        <f t="shared" si="42"/>
        <v>0</v>
      </c>
      <c r="AC90" s="26">
        <f>SUM(E90+I90+Q90+U90+M90+Y90)</f>
        <v>0</v>
      </c>
      <c r="AD90" s="29">
        <f>AA90-AC90</f>
        <v>0</v>
      </c>
    </row>
    <row r="91" spans="1:30" ht="16.5">
      <c r="A91" s="4" t="s">
        <v>172</v>
      </c>
      <c r="B91" s="4" t="s">
        <v>173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6">
        <f t="shared" si="42"/>
        <v>0</v>
      </c>
      <c r="AB91" s="26">
        <f t="shared" si="42"/>
        <v>0</v>
      </c>
      <c r="AC91" s="26">
        <f>SUM(E91+I91+Q91+U91+M91+Y91)</f>
        <v>0</v>
      </c>
      <c r="AD91" s="29">
        <f>AA91-AC91</f>
        <v>0</v>
      </c>
    </row>
    <row r="92" spans="1:30" ht="16.5">
      <c r="A92" s="4" t="s">
        <v>174</v>
      </c>
      <c r="B92" s="4" t="s">
        <v>175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6">
        <f t="shared" si="42"/>
        <v>0</v>
      </c>
      <c r="AB92" s="26">
        <f t="shared" si="42"/>
        <v>0</v>
      </c>
      <c r="AC92" s="26">
        <f>SUM(E92+I92+Q92+U92+M92+Y92)</f>
        <v>0</v>
      </c>
      <c r="AD92" s="29">
        <f>AA92-AC92</f>
        <v>0</v>
      </c>
    </row>
    <row r="93" spans="1:30" ht="16.5">
      <c r="A93" s="8" t="s">
        <v>176</v>
      </c>
      <c r="B93" s="8" t="s">
        <v>177</v>
      </c>
      <c r="C93" s="24">
        <f>SUM(C94+C95+C96+C97+C98+C99+C100)</f>
        <v>92434</v>
      </c>
      <c r="D93" s="24">
        <f aca="true" t="shared" si="43" ref="D93:AD93">SUM(D94+D95+D96+D97+D98+D99+D100)</f>
        <v>92434</v>
      </c>
      <c r="E93" s="24">
        <f t="shared" si="43"/>
        <v>23309</v>
      </c>
      <c r="F93" s="24"/>
      <c r="G93" s="24">
        <f t="shared" si="43"/>
        <v>0</v>
      </c>
      <c r="H93" s="24">
        <f t="shared" si="43"/>
        <v>0</v>
      </c>
      <c r="I93" s="24">
        <f t="shared" si="43"/>
        <v>0</v>
      </c>
      <c r="J93" s="24"/>
      <c r="K93" s="24">
        <f t="shared" si="43"/>
        <v>0</v>
      </c>
      <c r="L93" s="24">
        <f t="shared" si="43"/>
        <v>0</v>
      </c>
      <c r="M93" s="24">
        <f t="shared" si="43"/>
        <v>0</v>
      </c>
      <c r="N93" s="24"/>
      <c r="O93" s="24">
        <f t="shared" si="43"/>
        <v>0</v>
      </c>
      <c r="P93" s="24">
        <f t="shared" si="43"/>
        <v>0</v>
      </c>
      <c r="Q93" s="24">
        <f t="shared" si="43"/>
        <v>0</v>
      </c>
      <c r="R93" s="24"/>
      <c r="S93" s="24">
        <f t="shared" si="43"/>
        <v>0</v>
      </c>
      <c r="T93" s="24">
        <f t="shared" si="43"/>
        <v>0</v>
      </c>
      <c r="U93" s="24">
        <f t="shared" si="43"/>
        <v>0</v>
      </c>
      <c r="V93" s="24"/>
      <c r="W93" s="24">
        <f t="shared" si="43"/>
        <v>0</v>
      </c>
      <c r="X93" s="24">
        <f t="shared" si="43"/>
        <v>0</v>
      </c>
      <c r="Y93" s="24">
        <f t="shared" si="43"/>
        <v>0</v>
      </c>
      <c r="Z93" s="24"/>
      <c r="AA93" s="31">
        <f t="shared" si="43"/>
        <v>92434</v>
      </c>
      <c r="AB93" s="31">
        <f t="shared" si="43"/>
        <v>92434</v>
      </c>
      <c r="AC93" s="31">
        <f t="shared" si="43"/>
        <v>23309</v>
      </c>
      <c r="AD93" s="24">
        <f t="shared" si="43"/>
        <v>69125</v>
      </c>
    </row>
    <row r="94" spans="1:30" ht="16.5">
      <c r="A94" s="5" t="s">
        <v>178</v>
      </c>
      <c r="B94" s="5" t="s">
        <v>179</v>
      </c>
      <c r="C94" s="25">
        <v>0</v>
      </c>
      <c r="D94" s="25">
        <v>0</v>
      </c>
      <c r="E94" s="25">
        <v>0</v>
      </c>
      <c r="F94" s="25"/>
      <c r="G94" s="25">
        <v>0</v>
      </c>
      <c r="H94" s="25">
        <v>0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6">
        <f aca="true" t="shared" si="44" ref="AA94:AA100">SUM(C94+G94+K94+O94+S94+W94)</f>
        <v>0</v>
      </c>
      <c r="AB94" s="26">
        <f aca="true" t="shared" si="45" ref="AB94:AB100">SUM(D94+H94+L94+P94+T94+X94)</f>
        <v>0</v>
      </c>
      <c r="AC94" s="26">
        <f aca="true" t="shared" si="46" ref="AC94:AC100">SUM(E94+I94+Q94+U94+M94+Y94)</f>
        <v>0</v>
      </c>
      <c r="AD94" s="25">
        <f>AA94-AC94</f>
        <v>0</v>
      </c>
    </row>
    <row r="95" spans="1:30" ht="16.5">
      <c r="A95" s="5" t="s">
        <v>180</v>
      </c>
      <c r="B95" s="5" t="s">
        <v>181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6">
        <f t="shared" si="44"/>
        <v>0</v>
      </c>
      <c r="AB95" s="26">
        <f t="shared" si="45"/>
        <v>0</v>
      </c>
      <c r="AC95" s="26">
        <f t="shared" si="46"/>
        <v>0</v>
      </c>
      <c r="AD95" s="25">
        <f aca="true" t="shared" si="47" ref="AD95:AD100">AA95-AC95</f>
        <v>0</v>
      </c>
    </row>
    <row r="96" spans="1:30" ht="16.5">
      <c r="A96" s="5" t="s">
        <v>182</v>
      </c>
      <c r="B96" s="5" t="s">
        <v>183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6">
        <f t="shared" si="44"/>
        <v>0</v>
      </c>
      <c r="AB96" s="26">
        <f t="shared" si="45"/>
        <v>0</v>
      </c>
      <c r="AC96" s="26">
        <f t="shared" si="46"/>
        <v>0</v>
      </c>
      <c r="AD96" s="25">
        <f t="shared" si="47"/>
        <v>0</v>
      </c>
    </row>
    <row r="97" spans="1:30" ht="16.5">
      <c r="A97" s="5" t="s">
        <v>184</v>
      </c>
      <c r="B97" s="5" t="s">
        <v>185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6">
        <f t="shared" si="44"/>
        <v>0</v>
      </c>
      <c r="AB97" s="26">
        <f t="shared" si="45"/>
        <v>0</v>
      </c>
      <c r="AC97" s="26">
        <f t="shared" si="46"/>
        <v>0</v>
      </c>
      <c r="AD97" s="25">
        <f t="shared" si="47"/>
        <v>0</v>
      </c>
    </row>
    <row r="98" spans="1:30" ht="16.5">
      <c r="A98" s="5" t="s">
        <v>186</v>
      </c>
      <c r="B98" s="5" t="s">
        <v>187</v>
      </c>
      <c r="C98" s="25">
        <v>37386</v>
      </c>
      <c r="D98" s="25">
        <v>37386</v>
      </c>
      <c r="E98" s="25">
        <f>2045+3323+1217+1179+958+2050+1049</f>
        <v>11821</v>
      </c>
      <c r="F98" s="25">
        <f>C98-E98</f>
        <v>25565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6">
        <f t="shared" si="44"/>
        <v>37386</v>
      </c>
      <c r="AB98" s="26">
        <f t="shared" si="45"/>
        <v>37386</v>
      </c>
      <c r="AC98" s="26">
        <f t="shared" si="46"/>
        <v>11821</v>
      </c>
      <c r="AD98" s="25">
        <f t="shared" si="47"/>
        <v>25565</v>
      </c>
    </row>
    <row r="99" spans="1:30" ht="16.5">
      <c r="A99" s="5" t="s">
        <v>188</v>
      </c>
      <c r="B99" s="5" t="s">
        <v>189</v>
      </c>
      <c r="C99" s="25">
        <v>28628</v>
      </c>
      <c r="D99" s="25">
        <v>28628</v>
      </c>
      <c r="E99" s="25">
        <f>2217+760+729+1042+508+741+409</f>
        <v>6406</v>
      </c>
      <c r="F99" s="25">
        <f>C99-E99</f>
        <v>22222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6">
        <f t="shared" si="44"/>
        <v>28628</v>
      </c>
      <c r="AB99" s="26">
        <f t="shared" si="45"/>
        <v>28628</v>
      </c>
      <c r="AC99" s="26">
        <f t="shared" si="46"/>
        <v>6406</v>
      </c>
      <c r="AD99" s="25">
        <f t="shared" si="47"/>
        <v>22222</v>
      </c>
    </row>
    <row r="100" spans="1:30" ht="16.5">
      <c r="A100" s="5" t="s">
        <v>190</v>
      </c>
      <c r="B100" s="5" t="s">
        <v>191</v>
      </c>
      <c r="C100" s="25">
        <v>26420</v>
      </c>
      <c r="D100" s="25">
        <v>26420</v>
      </c>
      <c r="E100" s="25">
        <f>5082</f>
        <v>5082</v>
      </c>
      <c r="F100" s="25">
        <f>C100-E100</f>
        <v>21338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6">
        <f t="shared" si="44"/>
        <v>26420</v>
      </c>
      <c r="AB100" s="26">
        <f t="shared" si="45"/>
        <v>26420</v>
      </c>
      <c r="AC100" s="26">
        <f t="shared" si="46"/>
        <v>5082</v>
      </c>
      <c r="AD100" s="25">
        <f t="shared" si="47"/>
        <v>21338</v>
      </c>
    </row>
    <row r="101" spans="1:30" ht="16.5">
      <c r="A101" s="8" t="s">
        <v>192</v>
      </c>
      <c r="B101" s="8" t="s">
        <v>193</v>
      </c>
      <c r="C101" s="24">
        <f>SUM(C102+C105+C106+C108)</f>
        <v>17350</v>
      </c>
      <c r="D101" s="24">
        <f aca="true" t="shared" si="48" ref="D101:AD101">SUM(D102+D105+D106+D108)</f>
        <v>17350</v>
      </c>
      <c r="E101" s="24">
        <f t="shared" si="48"/>
        <v>18026</v>
      </c>
      <c r="F101" s="24"/>
      <c r="G101" s="24">
        <f t="shared" si="48"/>
        <v>0</v>
      </c>
      <c r="H101" s="24">
        <f t="shared" si="48"/>
        <v>0</v>
      </c>
      <c r="I101" s="24">
        <f t="shared" si="48"/>
        <v>0</v>
      </c>
      <c r="J101" s="24"/>
      <c r="K101" s="24">
        <f t="shared" si="48"/>
        <v>0</v>
      </c>
      <c r="L101" s="24">
        <f t="shared" si="48"/>
        <v>0</v>
      </c>
      <c r="M101" s="24">
        <f t="shared" si="48"/>
        <v>0</v>
      </c>
      <c r="N101" s="24"/>
      <c r="O101" s="24">
        <f t="shared" si="48"/>
        <v>0</v>
      </c>
      <c r="P101" s="24">
        <f t="shared" si="48"/>
        <v>0</v>
      </c>
      <c r="Q101" s="24">
        <f t="shared" si="48"/>
        <v>0</v>
      </c>
      <c r="R101" s="24"/>
      <c r="S101" s="24">
        <f t="shared" si="48"/>
        <v>0</v>
      </c>
      <c r="T101" s="24">
        <f t="shared" si="48"/>
        <v>0</v>
      </c>
      <c r="U101" s="24">
        <f t="shared" si="48"/>
        <v>0</v>
      </c>
      <c r="V101" s="24"/>
      <c r="W101" s="24">
        <f t="shared" si="48"/>
        <v>0</v>
      </c>
      <c r="X101" s="24">
        <f t="shared" si="48"/>
        <v>0</v>
      </c>
      <c r="Y101" s="24">
        <f t="shared" si="48"/>
        <v>0</v>
      </c>
      <c r="Z101" s="24"/>
      <c r="AA101" s="31">
        <f t="shared" si="48"/>
        <v>17350</v>
      </c>
      <c r="AB101" s="31">
        <f t="shared" si="48"/>
        <v>17350</v>
      </c>
      <c r="AC101" s="31">
        <f t="shared" si="48"/>
        <v>18026</v>
      </c>
      <c r="AD101" s="24">
        <f t="shared" si="48"/>
        <v>-676</v>
      </c>
    </row>
    <row r="102" spans="1:30" ht="16.5">
      <c r="A102" s="5" t="s">
        <v>194</v>
      </c>
      <c r="B102" s="5" t="s">
        <v>195</v>
      </c>
      <c r="C102" s="27">
        <f>SUM(C103+C104)</f>
        <v>6800</v>
      </c>
      <c r="D102" s="27">
        <f aca="true" t="shared" si="49" ref="D102:AD102">SUM(D103+D104)</f>
        <v>6800</v>
      </c>
      <c r="E102" s="27">
        <f t="shared" si="49"/>
        <v>0</v>
      </c>
      <c r="F102" s="27"/>
      <c r="G102" s="27">
        <f t="shared" si="49"/>
        <v>0</v>
      </c>
      <c r="H102" s="27">
        <f t="shared" si="49"/>
        <v>0</v>
      </c>
      <c r="I102" s="27">
        <f t="shared" si="49"/>
        <v>0</v>
      </c>
      <c r="J102" s="27"/>
      <c r="K102" s="27">
        <f t="shared" si="49"/>
        <v>0</v>
      </c>
      <c r="L102" s="27">
        <f t="shared" si="49"/>
        <v>0</v>
      </c>
      <c r="M102" s="27">
        <f t="shared" si="49"/>
        <v>0</v>
      </c>
      <c r="N102" s="27"/>
      <c r="O102" s="27">
        <f t="shared" si="49"/>
        <v>0</v>
      </c>
      <c r="P102" s="27">
        <f t="shared" si="49"/>
        <v>0</v>
      </c>
      <c r="Q102" s="27">
        <f t="shared" si="49"/>
        <v>0</v>
      </c>
      <c r="R102" s="27"/>
      <c r="S102" s="27">
        <f t="shared" si="49"/>
        <v>0</v>
      </c>
      <c r="T102" s="27">
        <f t="shared" si="49"/>
        <v>0</v>
      </c>
      <c r="U102" s="27">
        <f t="shared" si="49"/>
        <v>0</v>
      </c>
      <c r="V102" s="27"/>
      <c r="W102" s="27">
        <f t="shared" si="49"/>
        <v>0</v>
      </c>
      <c r="X102" s="27">
        <f t="shared" si="49"/>
        <v>0</v>
      </c>
      <c r="Y102" s="27">
        <f t="shared" si="49"/>
        <v>0</v>
      </c>
      <c r="Z102" s="27"/>
      <c r="AA102" s="30">
        <f t="shared" si="49"/>
        <v>6800</v>
      </c>
      <c r="AB102" s="30">
        <f t="shared" si="49"/>
        <v>6800</v>
      </c>
      <c r="AC102" s="30">
        <f t="shared" si="49"/>
        <v>0</v>
      </c>
      <c r="AD102" s="27">
        <f t="shared" si="49"/>
        <v>6800</v>
      </c>
    </row>
    <row r="103" spans="1:30" ht="16.5">
      <c r="A103" s="4" t="s">
        <v>196</v>
      </c>
      <c r="B103" s="4" t="s">
        <v>197</v>
      </c>
      <c r="C103" s="25">
        <v>3400</v>
      </c>
      <c r="D103" s="25">
        <v>3400</v>
      </c>
      <c r="E103" s="25"/>
      <c r="F103" s="25">
        <f>C103-E103</f>
        <v>3400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6">
        <f aca="true" t="shared" si="50" ref="AA103:AB105">SUM(C103+G103+K103+O103+S103+W103)</f>
        <v>3400</v>
      </c>
      <c r="AB103" s="26">
        <f t="shared" si="50"/>
        <v>3400</v>
      </c>
      <c r="AC103" s="26">
        <f>SUM(E103+I103+Q103+U103+M103+Y103)</f>
        <v>0</v>
      </c>
      <c r="AD103" s="25">
        <f>AA103-AC103</f>
        <v>3400</v>
      </c>
    </row>
    <row r="104" spans="1:30" ht="16.5">
      <c r="A104" s="4" t="s">
        <v>198</v>
      </c>
      <c r="B104" s="4" t="s">
        <v>199</v>
      </c>
      <c r="C104" s="25">
        <v>3400</v>
      </c>
      <c r="D104" s="25">
        <v>3400</v>
      </c>
      <c r="E104" s="25"/>
      <c r="F104" s="25">
        <f>C104-E104</f>
        <v>3400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6">
        <f t="shared" si="50"/>
        <v>3400</v>
      </c>
      <c r="AB104" s="26">
        <f t="shared" si="50"/>
        <v>3400</v>
      </c>
      <c r="AC104" s="26">
        <f>SUM(E104+I104+Q104+U104+M104+Y104)</f>
        <v>0</v>
      </c>
      <c r="AD104" s="25">
        <f>AA104-AC104</f>
        <v>3400</v>
      </c>
    </row>
    <row r="105" spans="1:30" ht="16.5">
      <c r="A105" s="5" t="s">
        <v>200</v>
      </c>
      <c r="B105" s="5" t="s">
        <v>201</v>
      </c>
      <c r="C105" s="25">
        <v>2500</v>
      </c>
      <c r="D105" s="25">
        <v>2500</v>
      </c>
      <c r="E105" s="25">
        <f>225+225</f>
        <v>450</v>
      </c>
      <c r="F105" s="25">
        <f>C105-E105</f>
        <v>2050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6">
        <f t="shared" si="50"/>
        <v>2500</v>
      </c>
      <c r="AB105" s="26">
        <f t="shared" si="50"/>
        <v>2500</v>
      </c>
      <c r="AC105" s="26">
        <f>SUM(E105+I105+Q105+U105+M105+Y105)</f>
        <v>450</v>
      </c>
      <c r="AD105" s="25">
        <f>AA105-AC105</f>
        <v>2050</v>
      </c>
    </row>
    <row r="106" spans="1:30" ht="16.5">
      <c r="A106" s="5" t="s">
        <v>202</v>
      </c>
      <c r="B106" s="5" t="s">
        <v>203</v>
      </c>
      <c r="C106" s="27">
        <f>SUM(C107)</f>
        <v>6800</v>
      </c>
      <c r="D106" s="27">
        <f aca="true" t="shared" si="51" ref="D106:AD106">SUM(D107)</f>
        <v>6800</v>
      </c>
      <c r="E106" s="27">
        <f t="shared" si="51"/>
        <v>17413</v>
      </c>
      <c r="F106" s="27"/>
      <c r="G106" s="27">
        <f t="shared" si="51"/>
        <v>0</v>
      </c>
      <c r="H106" s="27">
        <f t="shared" si="51"/>
        <v>0</v>
      </c>
      <c r="I106" s="27">
        <f t="shared" si="51"/>
        <v>0</v>
      </c>
      <c r="J106" s="27"/>
      <c r="K106" s="27">
        <f t="shared" si="51"/>
        <v>0</v>
      </c>
      <c r="L106" s="27">
        <f t="shared" si="51"/>
        <v>0</v>
      </c>
      <c r="M106" s="27">
        <f t="shared" si="51"/>
        <v>0</v>
      </c>
      <c r="N106" s="27"/>
      <c r="O106" s="27">
        <f t="shared" si="51"/>
        <v>0</v>
      </c>
      <c r="P106" s="27">
        <f t="shared" si="51"/>
        <v>0</v>
      </c>
      <c r="Q106" s="27">
        <f t="shared" si="51"/>
        <v>0</v>
      </c>
      <c r="R106" s="27"/>
      <c r="S106" s="27">
        <f t="shared" si="51"/>
        <v>0</v>
      </c>
      <c r="T106" s="27">
        <f t="shared" si="51"/>
        <v>0</v>
      </c>
      <c r="U106" s="27">
        <f t="shared" si="51"/>
        <v>0</v>
      </c>
      <c r="V106" s="27"/>
      <c r="W106" s="27">
        <f t="shared" si="51"/>
        <v>0</v>
      </c>
      <c r="X106" s="27">
        <f t="shared" si="51"/>
        <v>0</v>
      </c>
      <c r="Y106" s="27">
        <f t="shared" si="51"/>
        <v>0</v>
      </c>
      <c r="Z106" s="27"/>
      <c r="AA106" s="30">
        <f t="shared" si="51"/>
        <v>6800</v>
      </c>
      <c r="AB106" s="30">
        <f t="shared" si="51"/>
        <v>6800</v>
      </c>
      <c r="AC106" s="30">
        <f t="shared" si="51"/>
        <v>17413</v>
      </c>
      <c r="AD106" s="27">
        <f t="shared" si="51"/>
        <v>-10613</v>
      </c>
    </row>
    <row r="107" spans="1:30" ht="16.5">
      <c r="A107" s="4" t="s">
        <v>204</v>
      </c>
      <c r="B107" s="4" t="s">
        <v>205</v>
      </c>
      <c r="C107" s="25">
        <v>6800</v>
      </c>
      <c r="D107" s="25">
        <v>6800</v>
      </c>
      <c r="E107" s="25">
        <f>1801+7806+7806</f>
        <v>17413</v>
      </c>
      <c r="F107" s="25">
        <f>C107-E107</f>
        <v>-10613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6">
        <f>SUM(C107+G107+K107+O107+S107+W107)</f>
        <v>6800</v>
      </c>
      <c r="AB107" s="26">
        <f>SUM(D107+H107+L107+P107+T107+X107)</f>
        <v>6800</v>
      </c>
      <c r="AC107" s="26">
        <f>SUM(E107+I107+Q107+U107+M107+Y107)</f>
        <v>17413</v>
      </c>
      <c r="AD107" s="25">
        <f>AA107-AC107</f>
        <v>-10613</v>
      </c>
    </row>
    <row r="108" spans="1:30" ht="16.5">
      <c r="A108" s="5" t="s">
        <v>206</v>
      </c>
      <c r="B108" s="5" t="s">
        <v>207</v>
      </c>
      <c r="C108" s="25">
        <v>1250</v>
      </c>
      <c r="D108" s="25">
        <v>1250</v>
      </c>
      <c r="E108" s="25">
        <f>163</f>
        <v>163</v>
      </c>
      <c r="F108" s="25">
        <f>C108-E108</f>
        <v>1087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6">
        <f>SUM(C108+G108+K108+O108+S108+W108)</f>
        <v>1250</v>
      </c>
      <c r="AB108" s="26">
        <f>SUM(D108+H108+L108+P108+T108+X108)</f>
        <v>1250</v>
      </c>
      <c r="AC108" s="26">
        <f>SUM(E108+I108+Q108+U108+M108+Y108)</f>
        <v>163</v>
      </c>
      <c r="AD108" s="25">
        <f>AA108-AC108</f>
        <v>1087</v>
      </c>
    </row>
    <row r="109" spans="1:30" ht="16.5">
      <c r="A109" s="7" t="s">
        <v>208</v>
      </c>
      <c r="B109" s="7" t="s">
        <v>209</v>
      </c>
      <c r="C109" s="23">
        <f>SUM(C110+C169+C172+C185+C193)</f>
        <v>151806</v>
      </c>
      <c r="D109" s="23">
        <f aca="true" t="shared" si="52" ref="D109:AD109">SUM(D110+D169+D172+D185+D193)</f>
        <v>151806</v>
      </c>
      <c r="E109" s="23">
        <f t="shared" si="52"/>
        <v>66573</v>
      </c>
      <c r="F109" s="23"/>
      <c r="G109" s="23">
        <f t="shared" si="52"/>
        <v>0</v>
      </c>
      <c r="H109" s="23">
        <f t="shared" si="52"/>
        <v>0</v>
      </c>
      <c r="I109" s="23">
        <f t="shared" si="52"/>
        <v>0</v>
      </c>
      <c r="J109" s="23"/>
      <c r="K109" s="23">
        <f t="shared" si="52"/>
        <v>0</v>
      </c>
      <c r="L109" s="23">
        <f t="shared" si="52"/>
        <v>0</v>
      </c>
      <c r="M109" s="23">
        <f t="shared" si="52"/>
        <v>0</v>
      </c>
      <c r="N109" s="23"/>
      <c r="O109" s="23">
        <f t="shared" si="52"/>
        <v>0</v>
      </c>
      <c r="P109" s="23">
        <f t="shared" si="52"/>
        <v>0</v>
      </c>
      <c r="Q109" s="23">
        <f t="shared" si="52"/>
        <v>0</v>
      </c>
      <c r="R109" s="23"/>
      <c r="S109" s="23">
        <f t="shared" si="52"/>
        <v>0</v>
      </c>
      <c r="T109" s="23">
        <f t="shared" si="52"/>
        <v>0</v>
      </c>
      <c r="U109" s="23">
        <f t="shared" si="52"/>
        <v>0</v>
      </c>
      <c r="V109" s="23"/>
      <c r="W109" s="23">
        <f t="shared" si="52"/>
        <v>0</v>
      </c>
      <c r="X109" s="23">
        <f t="shared" si="52"/>
        <v>0</v>
      </c>
      <c r="Y109" s="23">
        <f t="shared" si="52"/>
        <v>0</v>
      </c>
      <c r="Z109" s="23"/>
      <c r="AA109" s="32">
        <f t="shared" si="52"/>
        <v>151806</v>
      </c>
      <c r="AB109" s="32">
        <f t="shared" si="52"/>
        <v>151806</v>
      </c>
      <c r="AC109" s="32">
        <f t="shared" si="52"/>
        <v>66573</v>
      </c>
      <c r="AD109" s="23">
        <f t="shared" si="52"/>
        <v>85233</v>
      </c>
    </row>
    <row r="110" spans="1:30" ht="16.5">
      <c r="A110" s="8" t="s">
        <v>210</v>
      </c>
      <c r="B110" s="8" t="s">
        <v>5</v>
      </c>
      <c r="C110" s="24">
        <f aca="true" t="shared" si="53" ref="C110:AD110">SUM(C111+C112+C115+C116+C120+C123+C126+C135+C137+C139+C148+C151+C155+C156+C159+C160+C161+C164+C165+C166+C167+C168+C154)</f>
        <v>110656</v>
      </c>
      <c r="D110" s="24">
        <f t="shared" si="53"/>
        <v>110656</v>
      </c>
      <c r="E110" s="24">
        <f t="shared" si="53"/>
        <v>46892</v>
      </c>
      <c r="F110" s="24"/>
      <c r="G110" s="24">
        <f t="shared" si="53"/>
        <v>0</v>
      </c>
      <c r="H110" s="24">
        <f t="shared" si="53"/>
        <v>0</v>
      </c>
      <c r="I110" s="24">
        <f t="shared" si="53"/>
        <v>0</v>
      </c>
      <c r="J110" s="24"/>
      <c r="K110" s="24">
        <f t="shared" si="53"/>
        <v>0</v>
      </c>
      <c r="L110" s="24">
        <f t="shared" si="53"/>
        <v>0</v>
      </c>
      <c r="M110" s="24">
        <f t="shared" si="53"/>
        <v>0</v>
      </c>
      <c r="N110" s="24"/>
      <c r="O110" s="24">
        <f t="shared" si="53"/>
        <v>0</v>
      </c>
      <c r="P110" s="24">
        <f t="shared" si="53"/>
        <v>0</v>
      </c>
      <c r="Q110" s="24">
        <f t="shared" si="53"/>
        <v>0</v>
      </c>
      <c r="R110" s="24"/>
      <c r="S110" s="24">
        <f t="shared" si="53"/>
        <v>0</v>
      </c>
      <c r="T110" s="24">
        <f t="shared" si="53"/>
        <v>0</v>
      </c>
      <c r="U110" s="24">
        <f t="shared" si="53"/>
        <v>0</v>
      </c>
      <c r="V110" s="24"/>
      <c r="W110" s="24">
        <f t="shared" si="53"/>
        <v>0</v>
      </c>
      <c r="X110" s="24">
        <f t="shared" si="53"/>
        <v>0</v>
      </c>
      <c r="Y110" s="24">
        <f t="shared" si="53"/>
        <v>0</v>
      </c>
      <c r="Z110" s="24"/>
      <c r="AA110" s="31">
        <f t="shared" si="53"/>
        <v>110656</v>
      </c>
      <c r="AB110" s="31">
        <f t="shared" si="53"/>
        <v>110656</v>
      </c>
      <c r="AC110" s="31">
        <f t="shared" si="53"/>
        <v>46892</v>
      </c>
      <c r="AD110" s="24">
        <f t="shared" si="53"/>
        <v>63764</v>
      </c>
    </row>
    <row r="111" spans="1:30" ht="16.5">
      <c r="A111" s="5" t="s">
        <v>211</v>
      </c>
      <c r="B111" s="5" t="s">
        <v>7</v>
      </c>
      <c r="C111" s="25">
        <v>26882</v>
      </c>
      <c r="D111" s="25">
        <v>26882</v>
      </c>
      <c r="E111" s="25">
        <f>2066+2242+2242+2292+2292+2292+2292</f>
        <v>15718</v>
      </c>
      <c r="F111" s="25">
        <f>C111-E111</f>
        <v>11164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6">
        <f>SUM(C111+G111+K111+O111+S111+W111)</f>
        <v>26882</v>
      </c>
      <c r="AB111" s="26">
        <f>SUM(D111+H111+L111+P111+T111+X111)</f>
        <v>26882</v>
      </c>
      <c r="AC111" s="26">
        <f>SUM(E111+I111+Q111+U111+M111+Y111)</f>
        <v>15718</v>
      </c>
      <c r="AD111" s="25">
        <f>AA111-AC111</f>
        <v>11164</v>
      </c>
    </row>
    <row r="112" spans="1:30" ht="16.5">
      <c r="A112" s="5" t="s">
        <v>212</v>
      </c>
      <c r="B112" s="5" t="s">
        <v>9</v>
      </c>
      <c r="C112" s="27">
        <f>SUM(C113+C114)</f>
        <v>2331</v>
      </c>
      <c r="D112" s="27">
        <f aca="true" t="shared" si="54" ref="D112:AD112">SUM(D113+D114)</f>
        <v>2331</v>
      </c>
      <c r="E112" s="27">
        <f t="shared" si="54"/>
        <v>837</v>
      </c>
      <c r="F112" s="27"/>
      <c r="G112" s="27">
        <f t="shared" si="54"/>
        <v>0</v>
      </c>
      <c r="H112" s="27">
        <f t="shared" si="54"/>
        <v>0</v>
      </c>
      <c r="I112" s="27">
        <f t="shared" si="54"/>
        <v>0</v>
      </c>
      <c r="J112" s="27"/>
      <c r="K112" s="27">
        <f t="shared" si="54"/>
        <v>0</v>
      </c>
      <c r="L112" s="27">
        <f t="shared" si="54"/>
        <v>0</v>
      </c>
      <c r="M112" s="27">
        <f t="shared" si="54"/>
        <v>0</v>
      </c>
      <c r="N112" s="27"/>
      <c r="O112" s="27">
        <f t="shared" si="54"/>
        <v>0</v>
      </c>
      <c r="P112" s="27">
        <f t="shared" si="54"/>
        <v>0</v>
      </c>
      <c r="Q112" s="27">
        <f t="shared" si="54"/>
        <v>0</v>
      </c>
      <c r="R112" s="27"/>
      <c r="S112" s="27">
        <f t="shared" si="54"/>
        <v>0</v>
      </c>
      <c r="T112" s="27">
        <f t="shared" si="54"/>
        <v>0</v>
      </c>
      <c r="U112" s="27">
        <f t="shared" si="54"/>
        <v>0</v>
      </c>
      <c r="V112" s="27"/>
      <c r="W112" s="27">
        <f t="shared" si="54"/>
        <v>0</v>
      </c>
      <c r="X112" s="27">
        <f t="shared" si="54"/>
        <v>0</v>
      </c>
      <c r="Y112" s="27">
        <f t="shared" si="54"/>
        <v>0</v>
      </c>
      <c r="Z112" s="27"/>
      <c r="AA112" s="30">
        <f t="shared" si="54"/>
        <v>2331</v>
      </c>
      <c r="AB112" s="30">
        <f t="shared" si="54"/>
        <v>2331</v>
      </c>
      <c r="AC112" s="30">
        <f t="shared" si="54"/>
        <v>837</v>
      </c>
      <c r="AD112" s="27">
        <f t="shared" si="54"/>
        <v>1494</v>
      </c>
    </row>
    <row r="113" spans="1:30" ht="16.5">
      <c r="A113" s="4" t="s">
        <v>213</v>
      </c>
      <c r="B113" s="4" t="s">
        <v>11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6">
        <f aca="true" t="shared" si="55" ref="AA113:AB115">SUM(C113+G113+K113+O113+S113+W113)</f>
        <v>0</v>
      </c>
      <c r="AB113" s="26">
        <f t="shared" si="55"/>
        <v>0</v>
      </c>
      <c r="AC113" s="26">
        <f>SUM(E113+I113+Q113+U113+M113+Y113)</f>
        <v>0</v>
      </c>
      <c r="AD113" s="25">
        <f>AA113-AC113</f>
        <v>0</v>
      </c>
    </row>
    <row r="114" spans="1:30" ht="16.5">
      <c r="A114" s="4" t="s">
        <v>214</v>
      </c>
      <c r="B114" s="4" t="s">
        <v>13</v>
      </c>
      <c r="C114" s="25">
        <v>2331</v>
      </c>
      <c r="D114" s="25">
        <v>2331</v>
      </c>
      <c r="E114" s="25">
        <f>118+119+119+119+119+119+124</f>
        <v>837</v>
      </c>
      <c r="F114" s="25">
        <f>C114-E114</f>
        <v>1494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6">
        <f t="shared" si="55"/>
        <v>2331</v>
      </c>
      <c r="AB114" s="26">
        <f t="shared" si="55"/>
        <v>2331</v>
      </c>
      <c r="AC114" s="26">
        <f>SUM(E114+I114+Q114+U114+M114+Y114)</f>
        <v>837</v>
      </c>
      <c r="AD114" s="25">
        <f>AA114-AC114</f>
        <v>1494</v>
      </c>
    </row>
    <row r="115" spans="1:30" ht="16.5">
      <c r="A115" s="5" t="s">
        <v>215</v>
      </c>
      <c r="B115" s="5" t="s">
        <v>17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6">
        <f t="shared" si="55"/>
        <v>0</v>
      </c>
      <c r="AB115" s="26">
        <f t="shared" si="55"/>
        <v>0</v>
      </c>
      <c r="AC115" s="26">
        <f>SUM(E115+I115+Q115+U115+M115+Y115)</f>
        <v>0</v>
      </c>
      <c r="AD115" s="25">
        <f>AA115-AC115</f>
        <v>0</v>
      </c>
    </row>
    <row r="116" spans="1:30" ht="16.5">
      <c r="A116" s="5" t="s">
        <v>216</v>
      </c>
      <c r="B116" s="5" t="s">
        <v>21</v>
      </c>
      <c r="C116" s="27">
        <f>SUM(C117+C118+C119)</f>
        <v>13172</v>
      </c>
      <c r="D116" s="27">
        <f aca="true" t="shared" si="56" ref="D116:AD116">SUM(D117+D118+D119)</f>
        <v>13172</v>
      </c>
      <c r="E116" s="27">
        <f t="shared" si="56"/>
        <v>7702</v>
      </c>
      <c r="F116" s="27"/>
      <c r="G116" s="27">
        <f t="shared" si="56"/>
        <v>0</v>
      </c>
      <c r="H116" s="27">
        <f t="shared" si="56"/>
        <v>0</v>
      </c>
      <c r="I116" s="27">
        <f t="shared" si="56"/>
        <v>0</v>
      </c>
      <c r="J116" s="27"/>
      <c r="K116" s="27">
        <f t="shared" si="56"/>
        <v>0</v>
      </c>
      <c r="L116" s="27">
        <f t="shared" si="56"/>
        <v>0</v>
      </c>
      <c r="M116" s="27">
        <f t="shared" si="56"/>
        <v>0</v>
      </c>
      <c r="N116" s="27"/>
      <c r="O116" s="27">
        <f t="shared" si="56"/>
        <v>0</v>
      </c>
      <c r="P116" s="27">
        <f t="shared" si="56"/>
        <v>0</v>
      </c>
      <c r="Q116" s="27">
        <f t="shared" si="56"/>
        <v>0</v>
      </c>
      <c r="R116" s="27"/>
      <c r="S116" s="27">
        <f t="shared" si="56"/>
        <v>0</v>
      </c>
      <c r="T116" s="27">
        <f t="shared" si="56"/>
        <v>0</v>
      </c>
      <c r="U116" s="27">
        <f t="shared" si="56"/>
        <v>0</v>
      </c>
      <c r="V116" s="27"/>
      <c r="W116" s="27">
        <f t="shared" si="56"/>
        <v>0</v>
      </c>
      <c r="X116" s="27">
        <f t="shared" si="56"/>
        <v>0</v>
      </c>
      <c r="Y116" s="27">
        <f t="shared" si="56"/>
        <v>0</v>
      </c>
      <c r="Z116" s="27"/>
      <c r="AA116" s="30">
        <f t="shared" si="56"/>
        <v>13172</v>
      </c>
      <c r="AB116" s="30">
        <f t="shared" si="56"/>
        <v>13172</v>
      </c>
      <c r="AC116" s="30">
        <f t="shared" si="56"/>
        <v>7702</v>
      </c>
      <c r="AD116" s="27">
        <f t="shared" si="56"/>
        <v>5470</v>
      </c>
    </row>
    <row r="117" spans="1:30" ht="16.5">
      <c r="A117" s="4" t="s">
        <v>217</v>
      </c>
      <c r="B117" s="4" t="s">
        <v>23</v>
      </c>
      <c r="C117" s="25">
        <v>13172</v>
      </c>
      <c r="D117" s="25">
        <v>13172</v>
      </c>
      <c r="E117" s="25">
        <f>1012+1099+1099+1123+1123+1123+1123</f>
        <v>7702</v>
      </c>
      <c r="F117" s="25">
        <f>C117-E117</f>
        <v>5470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6">
        <f aca="true" t="shared" si="57" ref="AA117:AB119">SUM(C117+G117+K117+O117+S117+W117)</f>
        <v>13172</v>
      </c>
      <c r="AB117" s="26">
        <f t="shared" si="57"/>
        <v>13172</v>
      </c>
      <c r="AC117" s="26">
        <f>SUM(E117+I117+Q117+U117+M117+Y117)</f>
        <v>7702</v>
      </c>
      <c r="AD117" s="25">
        <f>AA117-AC117</f>
        <v>5470</v>
      </c>
    </row>
    <row r="118" spans="1:30" ht="16.5">
      <c r="A118" s="4" t="s">
        <v>218</v>
      </c>
      <c r="B118" s="4" t="s">
        <v>25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6">
        <f t="shared" si="57"/>
        <v>0</v>
      </c>
      <c r="AB118" s="26">
        <f t="shared" si="57"/>
        <v>0</v>
      </c>
      <c r="AC118" s="26">
        <f>SUM(E118+I118+Q118+U118+M118+Y118)</f>
        <v>0</v>
      </c>
      <c r="AD118" s="25">
        <f>AA118-AC118</f>
        <v>0</v>
      </c>
    </row>
    <row r="119" spans="1:30" ht="16.5">
      <c r="A119" s="4" t="s">
        <v>219</v>
      </c>
      <c r="B119" s="4" t="s">
        <v>29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6">
        <f t="shared" si="57"/>
        <v>0</v>
      </c>
      <c r="AB119" s="26">
        <f t="shared" si="57"/>
        <v>0</v>
      </c>
      <c r="AC119" s="26">
        <f>SUM(E119+I119+Q119+U119+M119+Y119)</f>
        <v>0</v>
      </c>
      <c r="AD119" s="25">
        <f>AA119-AC119</f>
        <v>0</v>
      </c>
    </row>
    <row r="120" spans="1:30" ht="16.5">
      <c r="A120" s="5" t="s">
        <v>220</v>
      </c>
      <c r="B120" s="5" t="s">
        <v>221</v>
      </c>
      <c r="C120" s="27">
        <f>SUM(C121+C122)</f>
        <v>33549</v>
      </c>
      <c r="D120" s="27">
        <f aca="true" t="shared" si="58" ref="D120:AD120">SUM(D121+D122)</f>
        <v>33549</v>
      </c>
      <c r="E120" s="27">
        <f t="shared" si="58"/>
        <v>10934</v>
      </c>
      <c r="F120" s="27"/>
      <c r="G120" s="27">
        <f t="shared" si="58"/>
        <v>0</v>
      </c>
      <c r="H120" s="27">
        <f t="shared" si="58"/>
        <v>0</v>
      </c>
      <c r="I120" s="27">
        <f t="shared" si="58"/>
        <v>0</v>
      </c>
      <c r="J120" s="27"/>
      <c r="K120" s="27">
        <f t="shared" si="58"/>
        <v>0</v>
      </c>
      <c r="L120" s="27">
        <f t="shared" si="58"/>
        <v>0</v>
      </c>
      <c r="M120" s="27">
        <f t="shared" si="58"/>
        <v>0</v>
      </c>
      <c r="N120" s="27"/>
      <c r="O120" s="27">
        <f t="shared" si="58"/>
        <v>0</v>
      </c>
      <c r="P120" s="27">
        <f t="shared" si="58"/>
        <v>0</v>
      </c>
      <c r="Q120" s="27">
        <f t="shared" si="58"/>
        <v>0</v>
      </c>
      <c r="R120" s="27"/>
      <c r="S120" s="27">
        <f t="shared" si="58"/>
        <v>0</v>
      </c>
      <c r="T120" s="27">
        <f t="shared" si="58"/>
        <v>0</v>
      </c>
      <c r="U120" s="27">
        <f t="shared" si="58"/>
        <v>0</v>
      </c>
      <c r="V120" s="27"/>
      <c r="W120" s="27">
        <f t="shared" si="58"/>
        <v>0</v>
      </c>
      <c r="X120" s="27">
        <f t="shared" si="58"/>
        <v>0</v>
      </c>
      <c r="Y120" s="27">
        <f t="shared" si="58"/>
        <v>0</v>
      </c>
      <c r="Z120" s="27"/>
      <c r="AA120" s="30">
        <f t="shared" si="58"/>
        <v>33549</v>
      </c>
      <c r="AB120" s="30">
        <f t="shared" si="58"/>
        <v>33549</v>
      </c>
      <c r="AC120" s="30">
        <f t="shared" si="58"/>
        <v>10934</v>
      </c>
      <c r="AD120" s="27">
        <f t="shared" si="58"/>
        <v>22615</v>
      </c>
    </row>
    <row r="121" spans="1:30" ht="16.5">
      <c r="A121" s="4" t="s">
        <v>222</v>
      </c>
      <c r="B121" s="4" t="s">
        <v>33</v>
      </c>
      <c r="C121" s="29">
        <v>33549</v>
      </c>
      <c r="D121" s="29">
        <v>33549</v>
      </c>
      <c r="E121" s="29">
        <f>1360+1487+1487+1650+1650+1650+1650</f>
        <v>10934</v>
      </c>
      <c r="F121" s="29">
        <f>C121-E121</f>
        <v>22615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6">
        <f>SUM(C121+G121+K121+O121+S121+W121)</f>
        <v>33549</v>
      </c>
      <c r="AB121" s="26">
        <f>SUM(D121+H121+L121+P121+T121+X121)</f>
        <v>33549</v>
      </c>
      <c r="AC121" s="26">
        <f>SUM(E121+I121+Q121+U121+M121+Y121)</f>
        <v>10934</v>
      </c>
      <c r="AD121" s="29">
        <f>AA121-AC121</f>
        <v>22615</v>
      </c>
    </row>
    <row r="122" spans="1:30" ht="16.5">
      <c r="A122" s="4" t="s">
        <v>223</v>
      </c>
      <c r="B122" s="4" t="s">
        <v>224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6">
        <f>SUM(C122+G122+K122+O122+S122+W122)</f>
        <v>0</v>
      </c>
      <c r="AB122" s="26">
        <f>SUM(D122+H122+L122+P122+T122+X122)</f>
        <v>0</v>
      </c>
      <c r="AC122" s="26">
        <f>SUM(E122+I122+Q122+U122+M122+Y122)</f>
        <v>0</v>
      </c>
      <c r="AD122" s="29">
        <f>AA122-AC122</f>
        <v>0</v>
      </c>
    </row>
    <row r="123" spans="1:30" ht="16.5">
      <c r="A123" s="5" t="s">
        <v>225</v>
      </c>
      <c r="B123" s="5" t="s">
        <v>39</v>
      </c>
      <c r="C123" s="27">
        <f>SUM(C124+C125)</f>
        <v>0</v>
      </c>
      <c r="D123" s="27">
        <f aca="true" t="shared" si="59" ref="D123:AD123">SUM(D124+D125)</f>
        <v>0</v>
      </c>
      <c r="E123" s="27">
        <f t="shared" si="59"/>
        <v>0</v>
      </c>
      <c r="F123" s="27"/>
      <c r="G123" s="27">
        <f t="shared" si="59"/>
        <v>0</v>
      </c>
      <c r="H123" s="27">
        <f t="shared" si="59"/>
        <v>0</v>
      </c>
      <c r="I123" s="27">
        <f t="shared" si="59"/>
        <v>0</v>
      </c>
      <c r="J123" s="27"/>
      <c r="K123" s="27">
        <f t="shared" si="59"/>
        <v>0</v>
      </c>
      <c r="L123" s="27">
        <f t="shared" si="59"/>
        <v>0</v>
      </c>
      <c r="M123" s="27">
        <f t="shared" si="59"/>
        <v>0</v>
      </c>
      <c r="N123" s="27"/>
      <c r="O123" s="27">
        <f t="shared" si="59"/>
        <v>0</v>
      </c>
      <c r="P123" s="27">
        <f t="shared" si="59"/>
        <v>0</v>
      </c>
      <c r="Q123" s="27">
        <f t="shared" si="59"/>
        <v>0</v>
      </c>
      <c r="R123" s="27"/>
      <c r="S123" s="27">
        <f t="shared" si="59"/>
        <v>0</v>
      </c>
      <c r="T123" s="27">
        <f t="shared" si="59"/>
        <v>0</v>
      </c>
      <c r="U123" s="27">
        <f t="shared" si="59"/>
        <v>0</v>
      </c>
      <c r="V123" s="27"/>
      <c r="W123" s="27">
        <f t="shared" si="59"/>
        <v>0</v>
      </c>
      <c r="X123" s="27">
        <f t="shared" si="59"/>
        <v>0</v>
      </c>
      <c r="Y123" s="27">
        <f t="shared" si="59"/>
        <v>0</v>
      </c>
      <c r="Z123" s="27"/>
      <c r="AA123" s="30">
        <f t="shared" si="59"/>
        <v>0</v>
      </c>
      <c r="AB123" s="30">
        <f t="shared" si="59"/>
        <v>0</v>
      </c>
      <c r="AC123" s="30">
        <f t="shared" si="59"/>
        <v>0</v>
      </c>
      <c r="AD123" s="27">
        <f t="shared" si="59"/>
        <v>0</v>
      </c>
    </row>
    <row r="124" spans="1:30" ht="16.5">
      <c r="A124" s="4" t="s">
        <v>226</v>
      </c>
      <c r="B124" s="4" t="s">
        <v>41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6">
        <f>SUM(C124+G124+K124+O124+S124+W124)</f>
        <v>0</v>
      </c>
      <c r="AB124" s="26">
        <f>SUM(D124+H124+L124+P124+T124+X124)</f>
        <v>0</v>
      </c>
      <c r="AC124" s="26">
        <f>SUM(E124+I124+Q124+U124+M124+Y124)</f>
        <v>0</v>
      </c>
      <c r="AD124" s="29">
        <f>AA124-AC124</f>
        <v>0</v>
      </c>
    </row>
    <row r="125" spans="1:30" ht="16.5">
      <c r="A125" s="4" t="s">
        <v>227</v>
      </c>
      <c r="B125" s="4" t="s">
        <v>43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6">
        <f>SUM(C125+G125+K125+O125+S125+W125)</f>
        <v>0</v>
      </c>
      <c r="AB125" s="26">
        <f>SUM(D125+H125+L125+P125+T125+X125)</f>
        <v>0</v>
      </c>
      <c r="AC125" s="26">
        <f>SUM(E125+I125+Q125+U125+M125+Y125)</f>
        <v>0</v>
      </c>
      <c r="AD125" s="29">
        <f>AA125-AC125</f>
        <v>0</v>
      </c>
    </row>
    <row r="126" spans="1:30" ht="16.5">
      <c r="A126" s="5" t="s">
        <v>228</v>
      </c>
      <c r="B126" s="5" t="s">
        <v>45</v>
      </c>
      <c r="C126" s="27">
        <f>SUM(C127+C128+C129+C130+C131+C132+C133+C134)</f>
        <v>3272</v>
      </c>
      <c r="D126" s="27">
        <f aca="true" t="shared" si="60" ref="D126:AD126">SUM(D127+D128+D129+D130+D131+D132+D133+D134)</f>
        <v>3272</v>
      </c>
      <c r="E126" s="27">
        <f t="shared" si="60"/>
        <v>2303</v>
      </c>
      <c r="F126" s="27"/>
      <c r="G126" s="27">
        <f t="shared" si="60"/>
        <v>0</v>
      </c>
      <c r="H126" s="27">
        <f t="shared" si="60"/>
        <v>0</v>
      </c>
      <c r="I126" s="27">
        <f t="shared" si="60"/>
        <v>0</v>
      </c>
      <c r="J126" s="27"/>
      <c r="K126" s="27">
        <f t="shared" si="60"/>
        <v>0</v>
      </c>
      <c r="L126" s="27">
        <f t="shared" si="60"/>
        <v>0</v>
      </c>
      <c r="M126" s="27">
        <f t="shared" si="60"/>
        <v>0</v>
      </c>
      <c r="N126" s="27"/>
      <c r="O126" s="27">
        <f t="shared" si="60"/>
        <v>0</v>
      </c>
      <c r="P126" s="27">
        <f t="shared" si="60"/>
        <v>0</v>
      </c>
      <c r="Q126" s="27">
        <f t="shared" si="60"/>
        <v>0</v>
      </c>
      <c r="R126" s="27"/>
      <c r="S126" s="27">
        <f t="shared" si="60"/>
        <v>0</v>
      </c>
      <c r="T126" s="27">
        <f t="shared" si="60"/>
        <v>0</v>
      </c>
      <c r="U126" s="27">
        <f t="shared" si="60"/>
        <v>0</v>
      </c>
      <c r="V126" s="27"/>
      <c r="W126" s="27">
        <f t="shared" si="60"/>
        <v>0</v>
      </c>
      <c r="X126" s="27">
        <f t="shared" si="60"/>
        <v>0</v>
      </c>
      <c r="Y126" s="27">
        <f t="shared" si="60"/>
        <v>0</v>
      </c>
      <c r="Z126" s="27"/>
      <c r="AA126" s="30">
        <f t="shared" si="60"/>
        <v>3272</v>
      </c>
      <c r="AB126" s="30">
        <f t="shared" si="60"/>
        <v>3272</v>
      </c>
      <c r="AC126" s="30">
        <f t="shared" si="60"/>
        <v>2303</v>
      </c>
      <c r="AD126" s="27">
        <f t="shared" si="60"/>
        <v>969</v>
      </c>
    </row>
    <row r="127" spans="1:30" ht="16.5">
      <c r="A127" s="4" t="s">
        <v>229</v>
      </c>
      <c r="B127" s="4" t="s">
        <v>47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6">
        <f aca="true" t="shared" si="61" ref="AA127:AA134">SUM(C127+G127+K127+O127+S127+W127)</f>
        <v>0</v>
      </c>
      <c r="AB127" s="26">
        <f aca="true" t="shared" si="62" ref="AB127:AB134">SUM(D127+H127+L127+P127+T127+X127)</f>
        <v>0</v>
      </c>
      <c r="AC127" s="26">
        <f aca="true" t="shared" si="63" ref="AC127:AC134">SUM(E127+I127+Q127+U127+M127+Y127)</f>
        <v>0</v>
      </c>
      <c r="AD127" s="29"/>
    </row>
    <row r="128" spans="1:30" ht="16.5">
      <c r="A128" s="4" t="s">
        <v>230</v>
      </c>
      <c r="B128" s="4" t="s">
        <v>49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6">
        <f t="shared" si="61"/>
        <v>0</v>
      </c>
      <c r="AB128" s="26">
        <f t="shared" si="62"/>
        <v>0</v>
      </c>
      <c r="AC128" s="26">
        <f t="shared" si="63"/>
        <v>0</v>
      </c>
      <c r="AD128" s="29"/>
    </row>
    <row r="129" spans="1:30" ht="16.5">
      <c r="A129" s="4" t="s">
        <v>231</v>
      </c>
      <c r="B129" s="4" t="s">
        <v>51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6">
        <f t="shared" si="61"/>
        <v>0</v>
      </c>
      <c r="AB129" s="26">
        <f t="shared" si="62"/>
        <v>0</v>
      </c>
      <c r="AC129" s="26">
        <f t="shared" si="63"/>
        <v>0</v>
      </c>
      <c r="AD129" s="29"/>
    </row>
    <row r="130" spans="1:30" ht="16.5">
      <c r="A130" s="4" t="s">
        <v>232</v>
      </c>
      <c r="B130" s="4" t="s">
        <v>53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6">
        <f t="shared" si="61"/>
        <v>0</v>
      </c>
      <c r="AB130" s="26">
        <f t="shared" si="62"/>
        <v>0</v>
      </c>
      <c r="AC130" s="26">
        <f t="shared" si="63"/>
        <v>0</v>
      </c>
      <c r="AD130" s="29"/>
    </row>
    <row r="131" spans="1:30" ht="16.5">
      <c r="A131" s="4" t="s">
        <v>233</v>
      </c>
      <c r="B131" s="4" t="s">
        <v>55</v>
      </c>
      <c r="C131" s="29">
        <v>3272</v>
      </c>
      <c r="D131" s="29">
        <v>3272</v>
      </c>
      <c r="E131" s="29">
        <f>327+354+354+317+317+317+317</f>
        <v>2303</v>
      </c>
      <c r="F131" s="29">
        <f>C131-E131</f>
        <v>969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6">
        <f t="shared" si="61"/>
        <v>3272</v>
      </c>
      <c r="AB131" s="26">
        <f t="shared" si="62"/>
        <v>3272</v>
      </c>
      <c r="AC131" s="26">
        <f t="shared" si="63"/>
        <v>2303</v>
      </c>
      <c r="AD131" s="29">
        <f>AA131-AC131</f>
        <v>969</v>
      </c>
    </row>
    <row r="132" spans="1:30" ht="16.5">
      <c r="A132" s="4" t="s">
        <v>234</v>
      </c>
      <c r="B132" s="4" t="s">
        <v>57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6">
        <f t="shared" si="61"/>
        <v>0</v>
      </c>
      <c r="AB132" s="26">
        <f t="shared" si="62"/>
        <v>0</v>
      </c>
      <c r="AC132" s="26">
        <f t="shared" si="63"/>
        <v>0</v>
      </c>
      <c r="AD132" s="29"/>
    </row>
    <row r="133" spans="1:30" ht="16.5">
      <c r="A133" s="4" t="s">
        <v>235</v>
      </c>
      <c r="B133" s="4" t="s">
        <v>59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6">
        <f t="shared" si="61"/>
        <v>0</v>
      </c>
      <c r="AB133" s="26">
        <f t="shared" si="62"/>
        <v>0</v>
      </c>
      <c r="AC133" s="26">
        <f t="shared" si="63"/>
        <v>0</v>
      </c>
      <c r="AD133" s="29"/>
    </row>
    <row r="134" spans="1:30" ht="16.5">
      <c r="A134" s="4" t="s">
        <v>236</v>
      </c>
      <c r="B134" s="4" t="s">
        <v>61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6">
        <f t="shared" si="61"/>
        <v>0</v>
      </c>
      <c r="AB134" s="26">
        <f t="shared" si="62"/>
        <v>0</v>
      </c>
      <c r="AC134" s="26">
        <f t="shared" si="63"/>
        <v>0</v>
      </c>
      <c r="AD134" s="29"/>
    </row>
    <row r="135" spans="1:30" ht="16.5">
      <c r="A135" s="5" t="s">
        <v>237</v>
      </c>
      <c r="B135" s="5" t="s">
        <v>63</v>
      </c>
      <c r="C135" s="27">
        <f>SUM(C136)</f>
        <v>62</v>
      </c>
      <c r="D135" s="27">
        <f aca="true" t="shared" si="64" ref="D135:AD135">SUM(D136)</f>
        <v>62</v>
      </c>
      <c r="E135" s="27">
        <f t="shared" si="64"/>
        <v>0</v>
      </c>
      <c r="F135" s="27"/>
      <c r="G135" s="27">
        <f t="shared" si="64"/>
        <v>0</v>
      </c>
      <c r="H135" s="27">
        <f t="shared" si="64"/>
        <v>0</v>
      </c>
      <c r="I135" s="27">
        <f t="shared" si="64"/>
        <v>0</v>
      </c>
      <c r="J135" s="27"/>
      <c r="K135" s="27">
        <f t="shared" si="64"/>
        <v>0</v>
      </c>
      <c r="L135" s="27">
        <f t="shared" si="64"/>
        <v>0</v>
      </c>
      <c r="M135" s="27">
        <f t="shared" si="64"/>
        <v>0</v>
      </c>
      <c r="N135" s="27"/>
      <c r="O135" s="27">
        <f t="shared" si="64"/>
        <v>0</v>
      </c>
      <c r="P135" s="27">
        <f t="shared" si="64"/>
        <v>0</v>
      </c>
      <c r="Q135" s="27">
        <f t="shared" si="64"/>
        <v>0</v>
      </c>
      <c r="R135" s="27"/>
      <c r="S135" s="27">
        <f t="shared" si="64"/>
        <v>0</v>
      </c>
      <c r="T135" s="27">
        <f t="shared" si="64"/>
        <v>0</v>
      </c>
      <c r="U135" s="27">
        <f t="shared" si="64"/>
        <v>0</v>
      </c>
      <c r="V135" s="27"/>
      <c r="W135" s="27">
        <f t="shared" si="64"/>
        <v>0</v>
      </c>
      <c r="X135" s="27">
        <f t="shared" si="64"/>
        <v>0</v>
      </c>
      <c r="Y135" s="27">
        <f t="shared" si="64"/>
        <v>0</v>
      </c>
      <c r="Z135" s="27"/>
      <c r="AA135" s="30">
        <f t="shared" si="64"/>
        <v>62</v>
      </c>
      <c r="AB135" s="30">
        <f t="shared" si="64"/>
        <v>62</v>
      </c>
      <c r="AC135" s="30">
        <f t="shared" si="64"/>
        <v>0</v>
      </c>
      <c r="AD135" s="27">
        <f t="shared" si="64"/>
        <v>62</v>
      </c>
    </row>
    <row r="136" spans="1:30" ht="16.5">
      <c r="A136" s="4" t="s">
        <v>238</v>
      </c>
      <c r="B136" s="4" t="s">
        <v>65</v>
      </c>
      <c r="C136" s="29">
        <v>62</v>
      </c>
      <c r="D136" s="29">
        <v>62</v>
      </c>
      <c r="E136" s="29"/>
      <c r="F136" s="29">
        <f>C136-E136</f>
        <v>62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6">
        <f>SUM(C136+G136+K136+O136+S136+W136)</f>
        <v>62</v>
      </c>
      <c r="AB136" s="26">
        <f>SUM(D136+H136+L136+P136+T136+X136)</f>
        <v>62</v>
      </c>
      <c r="AC136" s="26">
        <f>SUM(E136+I136+Q136+U136+M136+Y136)</f>
        <v>0</v>
      </c>
      <c r="AD136" s="29">
        <f>AA136-AC136</f>
        <v>62</v>
      </c>
    </row>
    <row r="137" spans="1:30" ht="16.5">
      <c r="A137" s="5" t="s">
        <v>239</v>
      </c>
      <c r="B137" s="5" t="s">
        <v>67</v>
      </c>
      <c r="C137" s="27">
        <f>SUM(C138)</f>
        <v>0</v>
      </c>
      <c r="D137" s="27">
        <f aca="true" t="shared" si="65" ref="D137:AD137">SUM(D138)</f>
        <v>0</v>
      </c>
      <c r="E137" s="27">
        <f t="shared" si="65"/>
        <v>0</v>
      </c>
      <c r="F137" s="27"/>
      <c r="G137" s="27">
        <f t="shared" si="65"/>
        <v>0</v>
      </c>
      <c r="H137" s="27">
        <f t="shared" si="65"/>
        <v>0</v>
      </c>
      <c r="I137" s="27">
        <f t="shared" si="65"/>
        <v>0</v>
      </c>
      <c r="J137" s="27"/>
      <c r="K137" s="27">
        <f t="shared" si="65"/>
        <v>0</v>
      </c>
      <c r="L137" s="27">
        <f t="shared" si="65"/>
        <v>0</v>
      </c>
      <c r="M137" s="27">
        <f t="shared" si="65"/>
        <v>0</v>
      </c>
      <c r="N137" s="27"/>
      <c r="O137" s="27">
        <f t="shared" si="65"/>
        <v>0</v>
      </c>
      <c r="P137" s="27">
        <f t="shared" si="65"/>
        <v>0</v>
      </c>
      <c r="Q137" s="27">
        <f t="shared" si="65"/>
        <v>0</v>
      </c>
      <c r="R137" s="27"/>
      <c r="S137" s="27">
        <f t="shared" si="65"/>
        <v>0</v>
      </c>
      <c r="T137" s="27">
        <f t="shared" si="65"/>
        <v>0</v>
      </c>
      <c r="U137" s="27">
        <f t="shared" si="65"/>
        <v>0</v>
      </c>
      <c r="V137" s="27"/>
      <c r="W137" s="27">
        <f t="shared" si="65"/>
        <v>0</v>
      </c>
      <c r="X137" s="27">
        <f t="shared" si="65"/>
        <v>0</v>
      </c>
      <c r="Y137" s="27">
        <f t="shared" si="65"/>
        <v>0</v>
      </c>
      <c r="Z137" s="27"/>
      <c r="AA137" s="30">
        <f t="shared" si="65"/>
        <v>0</v>
      </c>
      <c r="AB137" s="30">
        <f t="shared" si="65"/>
        <v>0</v>
      </c>
      <c r="AC137" s="30">
        <f t="shared" si="65"/>
        <v>0</v>
      </c>
      <c r="AD137" s="27">
        <f t="shared" si="65"/>
        <v>0</v>
      </c>
    </row>
    <row r="138" spans="1:30" ht="16.5">
      <c r="A138" s="4" t="s">
        <v>240</v>
      </c>
      <c r="B138" s="4" t="s">
        <v>69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6">
        <f>SUM(C138+G138+K138+O138+S138+W138)</f>
        <v>0</v>
      </c>
      <c r="AB138" s="26">
        <f>SUM(D138+H138+L138+P138+T138+X138)</f>
        <v>0</v>
      </c>
      <c r="AC138" s="26">
        <f>SUM(E138+I138+Q138+U138+M138+Y138)</f>
        <v>0</v>
      </c>
      <c r="AD138" s="29"/>
    </row>
    <row r="139" spans="1:30" ht="16.5">
      <c r="A139" s="5" t="s">
        <v>241</v>
      </c>
      <c r="B139" s="5" t="s">
        <v>71</v>
      </c>
      <c r="C139" s="27">
        <f>SUM(C140+C141+C142+C143+C144+C145+C146+C147)</f>
        <v>14318</v>
      </c>
      <c r="D139" s="27">
        <f aca="true" t="shared" si="66" ref="D139:AD139">SUM(D140+D141+D142+D143+D144+D145+D146+D147)</f>
        <v>14318</v>
      </c>
      <c r="E139" s="27">
        <f t="shared" si="66"/>
        <v>6767</v>
      </c>
      <c r="F139" s="27"/>
      <c r="G139" s="27">
        <f t="shared" si="66"/>
        <v>0</v>
      </c>
      <c r="H139" s="27">
        <f t="shared" si="66"/>
        <v>0</v>
      </c>
      <c r="I139" s="27">
        <f t="shared" si="66"/>
        <v>0</v>
      </c>
      <c r="J139" s="27"/>
      <c r="K139" s="27">
        <f t="shared" si="66"/>
        <v>0</v>
      </c>
      <c r="L139" s="27">
        <f t="shared" si="66"/>
        <v>0</v>
      </c>
      <c r="M139" s="27">
        <f t="shared" si="66"/>
        <v>0</v>
      </c>
      <c r="N139" s="27"/>
      <c r="O139" s="27">
        <f t="shared" si="66"/>
        <v>0</v>
      </c>
      <c r="P139" s="27">
        <f t="shared" si="66"/>
        <v>0</v>
      </c>
      <c r="Q139" s="27">
        <f t="shared" si="66"/>
        <v>0</v>
      </c>
      <c r="R139" s="27"/>
      <c r="S139" s="27">
        <f t="shared" si="66"/>
        <v>0</v>
      </c>
      <c r="T139" s="27">
        <f t="shared" si="66"/>
        <v>0</v>
      </c>
      <c r="U139" s="27">
        <f t="shared" si="66"/>
        <v>0</v>
      </c>
      <c r="V139" s="27"/>
      <c r="W139" s="27">
        <f t="shared" si="66"/>
        <v>0</v>
      </c>
      <c r="X139" s="27">
        <f t="shared" si="66"/>
        <v>0</v>
      </c>
      <c r="Y139" s="27">
        <f t="shared" si="66"/>
        <v>0</v>
      </c>
      <c r="Z139" s="27"/>
      <c r="AA139" s="30">
        <f t="shared" si="66"/>
        <v>14318</v>
      </c>
      <c r="AB139" s="30">
        <f t="shared" si="66"/>
        <v>14318</v>
      </c>
      <c r="AC139" s="30">
        <f t="shared" si="66"/>
        <v>6767</v>
      </c>
      <c r="AD139" s="27">
        <f t="shared" si="66"/>
        <v>7551</v>
      </c>
    </row>
    <row r="140" spans="1:30" ht="16.5">
      <c r="A140" s="4" t="s">
        <v>242</v>
      </c>
      <c r="B140" s="4" t="s">
        <v>73</v>
      </c>
      <c r="C140" s="29">
        <v>5779</v>
      </c>
      <c r="D140" s="29">
        <v>5779</v>
      </c>
      <c r="E140" s="29">
        <f>444+482+482+493+493+493+493</f>
        <v>3380</v>
      </c>
      <c r="F140" s="29">
        <f>C140-E140</f>
        <v>2399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6">
        <f aca="true" t="shared" si="67" ref="AA140:AA147">SUM(C140+G140+K140+O140+S140+W140)</f>
        <v>5779</v>
      </c>
      <c r="AB140" s="26">
        <f aca="true" t="shared" si="68" ref="AB140:AB147">SUM(D140+H140+L140+P140+T140+X140)</f>
        <v>5779</v>
      </c>
      <c r="AC140" s="26">
        <f aca="true" t="shared" si="69" ref="AC140:AC147">SUM(E140+I140+Q140+U140+M140+Y140)</f>
        <v>3380</v>
      </c>
      <c r="AD140" s="29">
        <f>AA140-AC140</f>
        <v>2399</v>
      </c>
    </row>
    <row r="141" spans="1:30" ht="16.5">
      <c r="A141" s="4" t="s">
        <v>243</v>
      </c>
      <c r="B141" s="4" t="s">
        <v>75</v>
      </c>
      <c r="C141" s="29">
        <v>2478</v>
      </c>
      <c r="D141" s="29">
        <v>2478</v>
      </c>
      <c r="E141" s="29">
        <f>99+108+108+117+117+117+117</f>
        <v>783</v>
      </c>
      <c r="F141" s="29">
        <f>C141-E141</f>
        <v>1695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6">
        <f t="shared" si="67"/>
        <v>2478</v>
      </c>
      <c r="AB141" s="26">
        <f t="shared" si="68"/>
        <v>2478</v>
      </c>
      <c r="AC141" s="26">
        <f t="shared" si="69"/>
        <v>783</v>
      </c>
      <c r="AD141" s="29">
        <f aca="true" t="shared" si="70" ref="AD141:AD147">AA141-AC141</f>
        <v>1695</v>
      </c>
    </row>
    <row r="142" spans="1:30" ht="16.5">
      <c r="A142" s="4" t="s">
        <v>244</v>
      </c>
      <c r="B142" s="4" t="s">
        <v>77</v>
      </c>
      <c r="C142" s="29">
        <v>6061</v>
      </c>
      <c r="D142" s="29">
        <v>6061</v>
      </c>
      <c r="E142" s="29">
        <f>251+277+277+293+293+293+293</f>
        <v>1977</v>
      </c>
      <c r="F142" s="29">
        <f>C142-E142</f>
        <v>4084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6">
        <f t="shared" si="67"/>
        <v>6061</v>
      </c>
      <c r="AB142" s="26">
        <f t="shared" si="68"/>
        <v>6061</v>
      </c>
      <c r="AC142" s="26">
        <f t="shared" si="69"/>
        <v>1977</v>
      </c>
      <c r="AD142" s="29">
        <f t="shared" si="70"/>
        <v>4084</v>
      </c>
    </row>
    <row r="143" spans="1:30" ht="16.5">
      <c r="A143" s="4" t="s">
        <v>245</v>
      </c>
      <c r="B143" s="4" t="s">
        <v>79</v>
      </c>
      <c r="C143" s="29"/>
      <c r="D143" s="29"/>
      <c r="E143" s="29">
        <f>197+112+318</f>
        <v>627</v>
      </c>
      <c r="F143" s="29">
        <f>C143-E143</f>
        <v>-627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6">
        <f t="shared" si="67"/>
        <v>0</v>
      </c>
      <c r="AB143" s="26">
        <f t="shared" si="68"/>
        <v>0</v>
      </c>
      <c r="AC143" s="26">
        <f t="shared" si="69"/>
        <v>627</v>
      </c>
      <c r="AD143" s="29">
        <f t="shared" si="70"/>
        <v>-627</v>
      </c>
    </row>
    <row r="144" spans="1:30" ht="16.5">
      <c r="A144" s="4" t="s">
        <v>246</v>
      </c>
      <c r="B144" s="4" t="s">
        <v>81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6">
        <f t="shared" si="67"/>
        <v>0</v>
      </c>
      <c r="AB144" s="26">
        <f t="shared" si="68"/>
        <v>0</v>
      </c>
      <c r="AC144" s="26">
        <f t="shared" si="69"/>
        <v>0</v>
      </c>
      <c r="AD144" s="29">
        <f t="shared" si="70"/>
        <v>0</v>
      </c>
    </row>
    <row r="145" spans="1:30" ht="16.5">
      <c r="A145" s="4" t="s">
        <v>247</v>
      </c>
      <c r="B145" s="4" t="s">
        <v>83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6">
        <f t="shared" si="67"/>
        <v>0</v>
      </c>
      <c r="AB145" s="26">
        <f t="shared" si="68"/>
        <v>0</v>
      </c>
      <c r="AC145" s="26">
        <f t="shared" si="69"/>
        <v>0</v>
      </c>
      <c r="AD145" s="29">
        <f t="shared" si="70"/>
        <v>0</v>
      </c>
    </row>
    <row r="146" spans="1:30" ht="16.5">
      <c r="A146" s="4" t="s">
        <v>248</v>
      </c>
      <c r="B146" s="4" t="s">
        <v>85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6">
        <f t="shared" si="67"/>
        <v>0</v>
      </c>
      <c r="AB146" s="26">
        <f t="shared" si="68"/>
        <v>0</v>
      </c>
      <c r="AC146" s="26">
        <f t="shared" si="69"/>
        <v>0</v>
      </c>
      <c r="AD146" s="29">
        <f t="shared" si="70"/>
        <v>0</v>
      </c>
    </row>
    <row r="147" spans="1:30" ht="16.5">
      <c r="A147" s="4" t="s">
        <v>249</v>
      </c>
      <c r="B147" s="4" t="s">
        <v>87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6">
        <f t="shared" si="67"/>
        <v>0</v>
      </c>
      <c r="AB147" s="26">
        <f t="shared" si="68"/>
        <v>0</v>
      </c>
      <c r="AC147" s="26">
        <f t="shared" si="69"/>
        <v>0</v>
      </c>
      <c r="AD147" s="29">
        <f t="shared" si="70"/>
        <v>0</v>
      </c>
    </row>
    <row r="148" spans="1:30" ht="16.5">
      <c r="A148" s="5" t="s">
        <v>250</v>
      </c>
      <c r="B148" s="5" t="s">
        <v>251</v>
      </c>
      <c r="C148" s="27">
        <f>SUM(C149+C150)</f>
        <v>3779</v>
      </c>
      <c r="D148" s="27">
        <f aca="true" t="shared" si="71" ref="D148:AD148">SUM(D149+D150)</f>
        <v>3779</v>
      </c>
      <c r="E148" s="27">
        <f t="shared" si="71"/>
        <v>2631</v>
      </c>
      <c r="F148" s="27"/>
      <c r="G148" s="27">
        <f t="shared" si="71"/>
        <v>0</v>
      </c>
      <c r="H148" s="27">
        <f t="shared" si="71"/>
        <v>0</v>
      </c>
      <c r="I148" s="27">
        <f t="shared" si="71"/>
        <v>0</v>
      </c>
      <c r="J148" s="27"/>
      <c r="K148" s="27">
        <f t="shared" si="71"/>
        <v>0</v>
      </c>
      <c r="L148" s="27">
        <f t="shared" si="71"/>
        <v>0</v>
      </c>
      <c r="M148" s="27">
        <f t="shared" si="71"/>
        <v>0</v>
      </c>
      <c r="N148" s="27"/>
      <c r="O148" s="27">
        <f t="shared" si="71"/>
        <v>0</v>
      </c>
      <c r="P148" s="27">
        <f t="shared" si="71"/>
        <v>0</v>
      </c>
      <c r="Q148" s="27">
        <f t="shared" si="71"/>
        <v>0</v>
      </c>
      <c r="R148" s="27"/>
      <c r="S148" s="27">
        <f t="shared" si="71"/>
        <v>0</v>
      </c>
      <c r="T148" s="27">
        <f t="shared" si="71"/>
        <v>0</v>
      </c>
      <c r="U148" s="27">
        <f t="shared" si="71"/>
        <v>0</v>
      </c>
      <c r="V148" s="27"/>
      <c r="W148" s="27">
        <f t="shared" si="71"/>
        <v>0</v>
      </c>
      <c r="X148" s="27">
        <f t="shared" si="71"/>
        <v>0</v>
      </c>
      <c r="Y148" s="27">
        <f t="shared" si="71"/>
        <v>0</v>
      </c>
      <c r="Z148" s="27"/>
      <c r="AA148" s="30">
        <f t="shared" si="71"/>
        <v>3779</v>
      </c>
      <c r="AB148" s="30">
        <f t="shared" si="71"/>
        <v>3779</v>
      </c>
      <c r="AC148" s="30">
        <f t="shared" si="71"/>
        <v>2631</v>
      </c>
      <c r="AD148" s="27">
        <f t="shared" si="71"/>
        <v>1148</v>
      </c>
    </row>
    <row r="149" spans="1:30" ht="16.5">
      <c r="A149" s="4" t="s">
        <v>252</v>
      </c>
      <c r="B149" s="4" t="s">
        <v>253</v>
      </c>
      <c r="C149" s="29">
        <v>3779</v>
      </c>
      <c r="D149" s="29">
        <v>3779</v>
      </c>
      <c r="E149" s="29">
        <f>399+438+438+338+340+338+340</f>
        <v>2631</v>
      </c>
      <c r="F149" s="29">
        <f>C149-E149</f>
        <v>1148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6">
        <f>SUM(C149+G149+K149+O149+S149+W149)</f>
        <v>3779</v>
      </c>
      <c r="AB149" s="26">
        <f>SUM(D149+H149+L149+P149+T149+X149)</f>
        <v>3779</v>
      </c>
      <c r="AC149" s="26">
        <f>SUM(E149+I149+Q149+U149+M149+Y149)</f>
        <v>2631</v>
      </c>
      <c r="AD149" s="29">
        <f>AA149-AC149</f>
        <v>1148</v>
      </c>
    </row>
    <row r="150" spans="1:30" ht="16.5">
      <c r="A150" s="4" t="s">
        <v>254</v>
      </c>
      <c r="B150" s="4" t="s">
        <v>93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6">
        <f>SUM(C150+G150+K150+O150+S150+W150)</f>
        <v>0</v>
      </c>
      <c r="AB150" s="26">
        <f>SUM(D150+H150+L150+P150+T150+X150)</f>
        <v>0</v>
      </c>
      <c r="AC150" s="26">
        <f>SUM(E150+I150+Q150+U150+M150+Y150)</f>
        <v>0</v>
      </c>
      <c r="AD150" s="29"/>
    </row>
    <row r="151" spans="1:30" ht="16.5">
      <c r="A151" s="5" t="s">
        <v>255</v>
      </c>
      <c r="B151" s="5" t="s">
        <v>95</v>
      </c>
      <c r="C151" s="27">
        <f>SUM(C152+C153)</f>
        <v>0</v>
      </c>
      <c r="D151" s="27">
        <f aca="true" t="shared" si="72" ref="D151:AD151">SUM(D152+D153)</f>
        <v>0</v>
      </c>
      <c r="E151" s="27">
        <f t="shared" si="72"/>
        <v>0</v>
      </c>
      <c r="F151" s="27"/>
      <c r="G151" s="27">
        <f t="shared" si="72"/>
        <v>0</v>
      </c>
      <c r="H151" s="27">
        <f t="shared" si="72"/>
        <v>0</v>
      </c>
      <c r="I151" s="27">
        <f t="shared" si="72"/>
        <v>0</v>
      </c>
      <c r="J151" s="27"/>
      <c r="K151" s="27">
        <f t="shared" si="72"/>
        <v>0</v>
      </c>
      <c r="L151" s="27">
        <f t="shared" si="72"/>
        <v>0</v>
      </c>
      <c r="M151" s="27">
        <f t="shared" si="72"/>
        <v>0</v>
      </c>
      <c r="N151" s="27"/>
      <c r="O151" s="27">
        <f t="shared" si="72"/>
        <v>0</v>
      </c>
      <c r="P151" s="27">
        <f t="shared" si="72"/>
        <v>0</v>
      </c>
      <c r="Q151" s="27">
        <f t="shared" si="72"/>
        <v>0</v>
      </c>
      <c r="R151" s="27"/>
      <c r="S151" s="27">
        <f t="shared" si="72"/>
        <v>0</v>
      </c>
      <c r="T151" s="27">
        <f t="shared" si="72"/>
        <v>0</v>
      </c>
      <c r="U151" s="27">
        <f t="shared" si="72"/>
        <v>0</v>
      </c>
      <c r="V151" s="27"/>
      <c r="W151" s="27">
        <f t="shared" si="72"/>
        <v>0</v>
      </c>
      <c r="X151" s="27">
        <f t="shared" si="72"/>
        <v>0</v>
      </c>
      <c r="Y151" s="27">
        <f t="shared" si="72"/>
        <v>0</v>
      </c>
      <c r="Z151" s="27"/>
      <c r="AA151" s="30">
        <f t="shared" si="72"/>
        <v>0</v>
      </c>
      <c r="AB151" s="30">
        <f t="shared" si="72"/>
        <v>0</v>
      </c>
      <c r="AC151" s="30">
        <f t="shared" si="72"/>
        <v>0</v>
      </c>
      <c r="AD151" s="27">
        <f t="shared" si="72"/>
        <v>0</v>
      </c>
    </row>
    <row r="152" spans="1:30" ht="16.5">
      <c r="A152" s="4" t="s">
        <v>256</v>
      </c>
      <c r="B152" s="4" t="s">
        <v>99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6">
        <f aca="true" t="shared" si="73" ref="AA152:AB155">SUM(C152+G152+K152+O152+S152+W152)</f>
        <v>0</v>
      </c>
      <c r="AB152" s="26">
        <f t="shared" si="73"/>
        <v>0</v>
      </c>
      <c r="AC152" s="26">
        <f>SUM(E152+I152+Q152+U152+M152+Y152)</f>
        <v>0</v>
      </c>
      <c r="AD152" s="25"/>
    </row>
    <row r="153" spans="1:30" ht="16.5">
      <c r="A153" s="4" t="s">
        <v>257</v>
      </c>
      <c r="B153" s="4" t="s">
        <v>101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6">
        <f t="shared" si="73"/>
        <v>0</v>
      </c>
      <c r="AB153" s="26">
        <f t="shared" si="73"/>
        <v>0</v>
      </c>
      <c r="AC153" s="26">
        <f>SUM(E153+I153+Q153+U153+M153+Y153)</f>
        <v>0</v>
      </c>
      <c r="AD153" s="25"/>
    </row>
    <row r="154" spans="1:31" ht="16.5">
      <c r="A154" s="5" t="s">
        <v>801</v>
      </c>
      <c r="B154" s="5" t="s">
        <v>800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6">
        <f t="shared" si="73"/>
        <v>0</v>
      </c>
      <c r="AB154" s="26">
        <f t="shared" si="73"/>
        <v>0</v>
      </c>
      <c r="AC154" s="26">
        <f>SUM(E154+I154+Q154+U154+M154+Y154)</f>
        <v>0</v>
      </c>
      <c r="AD154" s="25"/>
      <c r="AE154" s="36" t="s">
        <v>798</v>
      </c>
    </row>
    <row r="155" spans="1:30" ht="16.5">
      <c r="A155" s="5" t="s">
        <v>258</v>
      </c>
      <c r="B155" s="5" t="s">
        <v>259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6">
        <f t="shared" si="73"/>
        <v>0</v>
      </c>
      <c r="AB155" s="26">
        <f t="shared" si="73"/>
        <v>0</v>
      </c>
      <c r="AC155" s="26">
        <f>SUM(E155+I155+Q155+U155+M155+Y155)</f>
        <v>0</v>
      </c>
      <c r="AD155" s="25"/>
    </row>
    <row r="156" spans="1:30" ht="16.5">
      <c r="A156" s="5" t="s">
        <v>260</v>
      </c>
      <c r="B156" s="5" t="s">
        <v>115</v>
      </c>
      <c r="C156" s="27">
        <f>SUM(C157+C158)</f>
        <v>0</v>
      </c>
      <c r="D156" s="27">
        <f aca="true" t="shared" si="74" ref="D156:AD156">SUM(D157+D158)</f>
        <v>0</v>
      </c>
      <c r="E156" s="27">
        <f t="shared" si="74"/>
        <v>0</v>
      </c>
      <c r="F156" s="27"/>
      <c r="G156" s="27">
        <f t="shared" si="74"/>
        <v>0</v>
      </c>
      <c r="H156" s="27">
        <f t="shared" si="74"/>
        <v>0</v>
      </c>
      <c r="I156" s="27">
        <f t="shared" si="74"/>
        <v>0</v>
      </c>
      <c r="J156" s="27"/>
      <c r="K156" s="27">
        <f t="shared" si="74"/>
        <v>0</v>
      </c>
      <c r="L156" s="27">
        <f t="shared" si="74"/>
        <v>0</v>
      </c>
      <c r="M156" s="27">
        <f t="shared" si="74"/>
        <v>0</v>
      </c>
      <c r="N156" s="27"/>
      <c r="O156" s="27">
        <f t="shared" si="74"/>
        <v>0</v>
      </c>
      <c r="P156" s="27">
        <f t="shared" si="74"/>
        <v>0</v>
      </c>
      <c r="Q156" s="27">
        <f t="shared" si="74"/>
        <v>0</v>
      </c>
      <c r="R156" s="27"/>
      <c r="S156" s="27">
        <f t="shared" si="74"/>
        <v>0</v>
      </c>
      <c r="T156" s="27">
        <f t="shared" si="74"/>
        <v>0</v>
      </c>
      <c r="U156" s="27">
        <f t="shared" si="74"/>
        <v>0</v>
      </c>
      <c r="V156" s="27"/>
      <c r="W156" s="27">
        <f t="shared" si="74"/>
        <v>0</v>
      </c>
      <c r="X156" s="27">
        <f t="shared" si="74"/>
        <v>0</v>
      </c>
      <c r="Y156" s="27">
        <f t="shared" si="74"/>
        <v>0</v>
      </c>
      <c r="Z156" s="27"/>
      <c r="AA156" s="30">
        <f t="shared" si="74"/>
        <v>0</v>
      </c>
      <c r="AB156" s="30">
        <f t="shared" si="74"/>
        <v>0</v>
      </c>
      <c r="AC156" s="30">
        <f t="shared" si="74"/>
        <v>0</v>
      </c>
      <c r="AD156" s="27">
        <f t="shared" si="74"/>
        <v>0</v>
      </c>
    </row>
    <row r="157" spans="1:30" ht="16.5">
      <c r="A157" s="4" t="s">
        <v>261</v>
      </c>
      <c r="B157" s="4" t="s">
        <v>117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6">
        <f aca="true" t="shared" si="75" ref="AA157:AB160">SUM(C157+G157+K157+O157+S157+W157)</f>
        <v>0</v>
      </c>
      <c r="AB157" s="26">
        <f t="shared" si="75"/>
        <v>0</v>
      </c>
      <c r="AC157" s="26">
        <f>SUM(E157+I157+Q157+U157+M157+Y157)</f>
        <v>0</v>
      </c>
      <c r="AD157" s="25"/>
    </row>
    <row r="158" spans="1:30" ht="16.5">
      <c r="A158" s="4" t="s">
        <v>262</v>
      </c>
      <c r="B158" s="4" t="s">
        <v>119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6">
        <f t="shared" si="75"/>
        <v>0</v>
      </c>
      <c r="AB158" s="26">
        <f t="shared" si="75"/>
        <v>0</v>
      </c>
      <c r="AC158" s="26">
        <f>SUM(E158+I158+Q158+U158+M158+Y158)</f>
        <v>0</v>
      </c>
      <c r="AD158" s="25"/>
    </row>
    <row r="159" spans="1:30" ht="16.5">
      <c r="A159" s="5" t="s">
        <v>263</v>
      </c>
      <c r="B159" s="5" t="s">
        <v>264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6">
        <f t="shared" si="75"/>
        <v>0</v>
      </c>
      <c r="AB159" s="26">
        <f t="shared" si="75"/>
        <v>0</v>
      </c>
      <c r="AC159" s="26">
        <f>SUM(E159+I159+Q159+U159+M159+Y159)</f>
        <v>0</v>
      </c>
      <c r="AD159" s="25"/>
    </row>
    <row r="160" spans="1:30" ht="16.5">
      <c r="A160" s="5" t="s">
        <v>265</v>
      </c>
      <c r="B160" s="5" t="s">
        <v>266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6">
        <f t="shared" si="75"/>
        <v>0</v>
      </c>
      <c r="AB160" s="26">
        <f t="shared" si="75"/>
        <v>0</v>
      </c>
      <c r="AC160" s="26">
        <f>SUM(E160+I160+Q160+U160+M160+Y160)</f>
        <v>0</v>
      </c>
      <c r="AD160" s="25"/>
    </row>
    <row r="161" spans="1:30" ht="16.5">
      <c r="A161" s="5" t="s">
        <v>267</v>
      </c>
      <c r="B161" s="5" t="s">
        <v>125</v>
      </c>
      <c r="C161" s="27">
        <f>SUM(C162+C163)</f>
        <v>0</v>
      </c>
      <c r="D161" s="27">
        <f aca="true" t="shared" si="76" ref="D161:AD161">SUM(D162+D163)</f>
        <v>0</v>
      </c>
      <c r="E161" s="27">
        <f t="shared" si="76"/>
        <v>0</v>
      </c>
      <c r="F161" s="27"/>
      <c r="G161" s="27">
        <f t="shared" si="76"/>
        <v>0</v>
      </c>
      <c r="H161" s="27">
        <f t="shared" si="76"/>
        <v>0</v>
      </c>
      <c r="I161" s="27">
        <f t="shared" si="76"/>
        <v>0</v>
      </c>
      <c r="J161" s="27"/>
      <c r="K161" s="27">
        <f t="shared" si="76"/>
        <v>0</v>
      </c>
      <c r="L161" s="27">
        <f t="shared" si="76"/>
        <v>0</v>
      </c>
      <c r="M161" s="27">
        <f t="shared" si="76"/>
        <v>0</v>
      </c>
      <c r="N161" s="27"/>
      <c r="O161" s="27">
        <f t="shared" si="76"/>
        <v>0</v>
      </c>
      <c r="P161" s="27">
        <f t="shared" si="76"/>
        <v>0</v>
      </c>
      <c r="Q161" s="27">
        <f t="shared" si="76"/>
        <v>0</v>
      </c>
      <c r="R161" s="27"/>
      <c r="S161" s="27">
        <f t="shared" si="76"/>
        <v>0</v>
      </c>
      <c r="T161" s="27">
        <f t="shared" si="76"/>
        <v>0</v>
      </c>
      <c r="U161" s="27">
        <f t="shared" si="76"/>
        <v>0</v>
      </c>
      <c r="V161" s="27"/>
      <c r="W161" s="27">
        <f t="shared" si="76"/>
        <v>0</v>
      </c>
      <c r="X161" s="27">
        <f t="shared" si="76"/>
        <v>0</v>
      </c>
      <c r="Y161" s="27">
        <f t="shared" si="76"/>
        <v>0</v>
      </c>
      <c r="Z161" s="27"/>
      <c r="AA161" s="30">
        <f t="shared" si="76"/>
        <v>0</v>
      </c>
      <c r="AB161" s="30">
        <f t="shared" si="76"/>
        <v>0</v>
      </c>
      <c r="AC161" s="30">
        <f t="shared" si="76"/>
        <v>0</v>
      </c>
      <c r="AD161" s="27">
        <f t="shared" si="76"/>
        <v>0</v>
      </c>
    </row>
    <row r="162" spans="1:30" ht="16.5">
      <c r="A162" s="4" t="s">
        <v>268</v>
      </c>
      <c r="B162" s="4" t="s">
        <v>127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6">
        <f aca="true" t="shared" si="77" ref="AA162:AA168">SUM(C162+G162+K162+O162+S162+W162)</f>
        <v>0</v>
      </c>
      <c r="AB162" s="26">
        <f aca="true" t="shared" si="78" ref="AB162:AB168">SUM(D162+H162+L162+P162+T162+X162)</f>
        <v>0</v>
      </c>
      <c r="AC162" s="26">
        <f aca="true" t="shared" si="79" ref="AC162:AC168">SUM(E162+I162+Q162+U162+M162+Y162)</f>
        <v>0</v>
      </c>
      <c r="AD162" s="25"/>
    </row>
    <row r="163" spans="1:30" ht="16.5">
      <c r="A163" s="4" t="s">
        <v>269</v>
      </c>
      <c r="B163" s="4" t="s">
        <v>129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6">
        <f t="shared" si="77"/>
        <v>0</v>
      </c>
      <c r="AB163" s="26">
        <f t="shared" si="78"/>
        <v>0</v>
      </c>
      <c r="AC163" s="26">
        <f t="shared" si="79"/>
        <v>0</v>
      </c>
      <c r="AD163" s="25"/>
    </row>
    <row r="164" spans="1:30" ht="16.5">
      <c r="A164" s="5" t="s">
        <v>270</v>
      </c>
      <c r="B164" s="5" t="s">
        <v>131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6">
        <f t="shared" si="77"/>
        <v>0</v>
      </c>
      <c r="AB164" s="26">
        <f t="shared" si="78"/>
        <v>0</v>
      </c>
      <c r="AC164" s="26">
        <f t="shared" si="79"/>
        <v>0</v>
      </c>
      <c r="AD164" s="25"/>
    </row>
    <row r="165" spans="1:30" ht="16.5">
      <c r="A165" s="5" t="s">
        <v>271</v>
      </c>
      <c r="B165" s="5" t="s">
        <v>133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6">
        <f t="shared" si="77"/>
        <v>0</v>
      </c>
      <c r="AB165" s="26">
        <f t="shared" si="78"/>
        <v>0</v>
      </c>
      <c r="AC165" s="26">
        <f t="shared" si="79"/>
        <v>0</v>
      </c>
      <c r="AD165" s="25"/>
    </row>
    <row r="166" spans="1:30" ht="16.5">
      <c r="A166" s="5" t="s">
        <v>272</v>
      </c>
      <c r="B166" s="5" t="s">
        <v>135</v>
      </c>
      <c r="C166" s="25">
        <v>13291</v>
      </c>
      <c r="D166" s="25">
        <v>13291</v>
      </c>
      <c r="E166" s="25"/>
      <c r="F166" s="25">
        <f>C166-E166</f>
        <v>13291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6">
        <f t="shared" si="77"/>
        <v>13291</v>
      </c>
      <c r="AB166" s="26">
        <f t="shared" si="78"/>
        <v>13291</v>
      </c>
      <c r="AC166" s="26">
        <f t="shared" si="79"/>
        <v>0</v>
      </c>
      <c r="AD166" s="25">
        <f>AA166-AC166</f>
        <v>13291</v>
      </c>
    </row>
    <row r="167" spans="1:30" ht="16.5">
      <c r="A167" s="5" t="s">
        <v>273</v>
      </c>
      <c r="B167" s="5" t="s">
        <v>139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6">
        <f t="shared" si="77"/>
        <v>0</v>
      </c>
      <c r="AB167" s="26">
        <f t="shared" si="78"/>
        <v>0</v>
      </c>
      <c r="AC167" s="26">
        <f t="shared" si="79"/>
        <v>0</v>
      </c>
      <c r="AD167" s="25"/>
    </row>
    <row r="168" spans="1:30" ht="16.5">
      <c r="A168" s="5" t="s">
        <v>274</v>
      </c>
      <c r="B168" s="5" t="s">
        <v>143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6">
        <f t="shared" si="77"/>
        <v>0</v>
      </c>
      <c r="AB168" s="26">
        <f t="shared" si="78"/>
        <v>0</v>
      </c>
      <c r="AC168" s="26">
        <f t="shared" si="79"/>
        <v>0</v>
      </c>
      <c r="AD168" s="25"/>
    </row>
    <row r="169" spans="1:30" ht="16.5">
      <c r="A169" s="8" t="s">
        <v>275</v>
      </c>
      <c r="B169" s="8" t="s">
        <v>145</v>
      </c>
      <c r="C169" s="24">
        <f>SUM(C170+C171)</f>
        <v>3641</v>
      </c>
      <c r="D169" s="24">
        <f aca="true" t="shared" si="80" ref="D169:AD169">SUM(D170+D171)</f>
        <v>3641</v>
      </c>
      <c r="E169" s="24">
        <f t="shared" si="80"/>
        <v>3088</v>
      </c>
      <c r="F169" s="24"/>
      <c r="G169" s="24">
        <f t="shared" si="80"/>
        <v>0</v>
      </c>
      <c r="H169" s="24">
        <f t="shared" si="80"/>
        <v>0</v>
      </c>
      <c r="I169" s="24">
        <f t="shared" si="80"/>
        <v>0</v>
      </c>
      <c r="J169" s="24"/>
      <c r="K169" s="24">
        <f t="shared" si="80"/>
        <v>0</v>
      </c>
      <c r="L169" s="24">
        <f t="shared" si="80"/>
        <v>0</v>
      </c>
      <c r="M169" s="24">
        <f t="shared" si="80"/>
        <v>0</v>
      </c>
      <c r="N169" s="24"/>
      <c r="O169" s="24">
        <f t="shared" si="80"/>
        <v>0</v>
      </c>
      <c r="P169" s="24">
        <f t="shared" si="80"/>
        <v>0</v>
      </c>
      <c r="Q169" s="24">
        <f t="shared" si="80"/>
        <v>0</v>
      </c>
      <c r="R169" s="24"/>
      <c r="S169" s="24">
        <f t="shared" si="80"/>
        <v>0</v>
      </c>
      <c r="T169" s="24">
        <f t="shared" si="80"/>
        <v>0</v>
      </c>
      <c r="U169" s="24">
        <f t="shared" si="80"/>
        <v>0</v>
      </c>
      <c r="V169" s="24"/>
      <c r="W169" s="24">
        <f t="shared" si="80"/>
        <v>0</v>
      </c>
      <c r="X169" s="24">
        <f t="shared" si="80"/>
        <v>0</v>
      </c>
      <c r="Y169" s="24">
        <f t="shared" si="80"/>
        <v>0</v>
      </c>
      <c r="Z169" s="24"/>
      <c r="AA169" s="31">
        <f t="shared" si="80"/>
        <v>3641</v>
      </c>
      <c r="AB169" s="31">
        <f t="shared" si="80"/>
        <v>3641</v>
      </c>
      <c r="AC169" s="31">
        <f t="shared" si="80"/>
        <v>3088</v>
      </c>
      <c r="AD169" s="24">
        <f t="shared" si="80"/>
        <v>553</v>
      </c>
    </row>
    <row r="170" spans="1:30" ht="16.5">
      <c r="A170" s="5" t="s">
        <v>276</v>
      </c>
      <c r="B170" s="5" t="s">
        <v>147</v>
      </c>
      <c r="C170" s="25">
        <v>1840</v>
      </c>
      <c r="D170" s="25">
        <v>1840</v>
      </c>
      <c r="E170" s="25">
        <f>1439</f>
        <v>1439</v>
      </c>
      <c r="F170" s="25">
        <f>C170-E170</f>
        <v>401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6">
        <f>SUM(C170+G170+K170+O170+S170+W170)</f>
        <v>1840</v>
      </c>
      <c r="AB170" s="26">
        <f>SUM(D170+H170+L170+P170+T170+X170)</f>
        <v>1840</v>
      </c>
      <c r="AC170" s="26">
        <f>SUM(E170+I170+Q170+U170+M170+Y170)</f>
        <v>1439</v>
      </c>
      <c r="AD170" s="25">
        <f>AA170-AC170</f>
        <v>401</v>
      </c>
    </row>
    <row r="171" spans="1:30" ht="16.5">
      <c r="A171" s="5" t="s">
        <v>277</v>
      </c>
      <c r="B171" s="5" t="s">
        <v>149</v>
      </c>
      <c r="C171" s="25">
        <v>1801</v>
      </c>
      <c r="D171" s="25">
        <v>1801</v>
      </c>
      <c r="E171" s="25">
        <f>167+191+281+65+130+239+310+266</f>
        <v>1649</v>
      </c>
      <c r="F171" s="25">
        <f>C171-E171</f>
        <v>152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6">
        <f>SUM(C171+G171+K171+O171+S171+W171)</f>
        <v>1801</v>
      </c>
      <c r="AB171" s="26">
        <f>SUM(D171+H171+L171+P171+T171+X171)</f>
        <v>1801</v>
      </c>
      <c r="AC171" s="26">
        <f>SUM(E171+I171+Q171+U171+M171+Y171)</f>
        <v>1649</v>
      </c>
      <c r="AD171" s="25">
        <f>AA171-AC171</f>
        <v>152</v>
      </c>
    </row>
    <row r="172" spans="1:30" ht="16.5">
      <c r="A172" s="8" t="s">
        <v>278</v>
      </c>
      <c r="B172" s="8" t="s">
        <v>151</v>
      </c>
      <c r="C172" s="24">
        <f>SUM(C173+C176+C180)</f>
        <v>14711</v>
      </c>
      <c r="D172" s="24">
        <f aca="true" t="shared" si="81" ref="D172:AD172">SUM(D173+D176+D180)</f>
        <v>14711</v>
      </c>
      <c r="E172" s="24">
        <f t="shared" si="81"/>
        <v>5386</v>
      </c>
      <c r="F172" s="24"/>
      <c r="G172" s="24">
        <f t="shared" si="81"/>
        <v>0</v>
      </c>
      <c r="H172" s="24">
        <f t="shared" si="81"/>
        <v>0</v>
      </c>
      <c r="I172" s="24">
        <f t="shared" si="81"/>
        <v>0</v>
      </c>
      <c r="J172" s="24"/>
      <c r="K172" s="24">
        <f t="shared" si="81"/>
        <v>0</v>
      </c>
      <c r="L172" s="24">
        <f t="shared" si="81"/>
        <v>0</v>
      </c>
      <c r="M172" s="24">
        <f t="shared" si="81"/>
        <v>0</v>
      </c>
      <c r="N172" s="24"/>
      <c r="O172" s="24">
        <f t="shared" si="81"/>
        <v>0</v>
      </c>
      <c r="P172" s="24">
        <f t="shared" si="81"/>
        <v>0</v>
      </c>
      <c r="Q172" s="24">
        <f t="shared" si="81"/>
        <v>0</v>
      </c>
      <c r="R172" s="24"/>
      <c r="S172" s="24">
        <f t="shared" si="81"/>
        <v>0</v>
      </c>
      <c r="T172" s="24">
        <f t="shared" si="81"/>
        <v>0</v>
      </c>
      <c r="U172" s="24">
        <f t="shared" si="81"/>
        <v>0</v>
      </c>
      <c r="V172" s="24"/>
      <c r="W172" s="24">
        <f t="shared" si="81"/>
        <v>0</v>
      </c>
      <c r="X172" s="24">
        <f t="shared" si="81"/>
        <v>0</v>
      </c>
      <c r="Y172" s="24">
        <f t="shared" si="81"/>
        <v>0</v>
      </c>
      <c r="Z172" s="24"/>
      <c r="AA172" s="31">
        <f t="shared" si="81"/>
        <v>14711</v>
      </c>
      <c r="AB172" s="31">
        <f t="shared" si="81"/>
        <v>14711</v>
      </c>
      <c r="AC172" s="31">
        <f t="shared" si="81"/>
        <v>5386</v>
      </c>
      <c r="AD172" s="24">
        <f t="shared" si="81"/>
        <v>9325</v>
      </c>
    </row>
    <row r="173" spans="1:30" ht="16.5">
      <c r="A173" s="5" t="s">
        <v>279</v>
      </c>
      <c r="B173" s="5" t="s">
        <v>153</v>
      </c>
      <c r="C173" s="27">
        <f>SUM(C174+C175)</f>
        <v>14711</v>
      </c>
      <c r="D173" s="27">
        <f aca="true" t="shared" si="82" ref="D173:AD173">SUM(D174+D175)</f>
        <v>14711</v>
      </c>
      <c r="E173" s="27">
        <f t="shared" si="82"/>
        <v>5386</v>
      </c>
      <c r="F173" s="27"/>
      <c r="G173" s="27">
        <f t="shared" si="82"/>
        <v>0</v>
      </c>
      <c r="H173" s="27">
        <f t="shared" si="82"/>
        <v>0</v>
      </c>
      <c r="I173" s="27">
        <f t="shared" si="82"/>
        <v>0</v>
      </c>
      <c r="J173" s="27"/>
      <c r="K173" s="27">
        <f t="shared" si="82"/>
        <v>0</v>
      </c>
      <c r="L173" s="27">
        <f t="shared" si="82"/>
        <v>0</v>
      </c>
      <c r="M173" s="27">
        <f t="shared" si="82"/>
        <v>0</v>
      </c>
      <c r="N173" s="27"/>
      <c r="O173" s="27">
        <f t="shared" si="82"/>
        <v>0</v>
      </c>
      <c r="P173" s="27">
        <f t="shared" si="82"/>
        <v>0</v>
      </c>
      <c r="Q173" s="27">
        <f t="shared" si="82"/>
        <v>0</v>
      </c>
      <c r="R173" s="27"/>
      <c r="S173" s="27">
        <f t="shared" si="82"/>
        <v>0</v>
      </c>
      <c r="T173" s="27">
        <f t="shared" si="82"/>
        <v>0</v>
      </c>
      <c r="U173" s="27">
        <f t="shared" si="82"/>
        <v>0</v>
      </c>
      <c r="V173" s="27"/>
      <c r="W173" s="27">
        <f t="shared" si="82"/>
        <v>0</v>
      </c>
      <c r="X173" s="27">
        <f t="shared" si="82"/>
        <v>0</v>
      </c>
      <c r="Y173" s="27">
        <f t="shared" si="82"/>
        <v>0</v>
      </c>
      <c r="Z173" s="27"/>
      <c r="AA173" s="30">
        <f t="shared" si="82"/>
        <v>14711</v>
      </c>
      <c r="AB173" s="30">
        <f t="shared" si="82"/>
        <v>14711</v>
      </c>
      <c r="AC173" s="30">
        <f t="shared" si="82"/>
        <v>5386</v>
      </c>
      <c r="AD173" s="27">
        <f t="shared" si="82"/>
        <v>9325</v>
      </c>
    </row>
    <row r="174" spans="1:30" ht="16.5">
      <c r="A174" s="4" t="s">
        <v>280</v>
      </c>
      <c r="B174" s="4" t="s">
        <v>155</v>
      </c>
      <c r="C174" s="25">
        <v>14711</v>
      </c>
      <c r="D174" s="25">
        <v>14711</v>
      </c>
      <c r="E174" s="25">
        <f>1297+723+1297+2069</f>
        <v>5386</v>
      </c>
      <c r="F174" s="25">
        <f>C174-E174</f>
        <v>9325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6">
        <f>SUM(C174+G174+K174+O174+S174+W174)</f>
        <v>14711</v>
      </c>
      <c r="AB174" s="26">
        <f>SUM(D174+H174+L174+P174+T174+X174)</f>
        <v>14711</v>
      </c>
      <c r="AC174" s="26">
        <f>SUM(E174+I174+Q174+U174+M174+Y174)</f>
        <v>5386</v>
      </c>
      <c r="AD174" s="25">
        <f>AA174-AC174</f>
        <v>9325</v>
      </c>
    </row>
    <row r="175" spans="1:30" ht="16.5">
      <c r="A175" s="4" t="s">
        <v>281</v>
      </c>
      <c r="B175" s="4" t="s">
        <v>157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6">
        <f>SUM(C175+G175+K175+O175+S175+W175)</f>
        <v>0</v>
      </c>
      <c r="AB175" s="26">
        <f>SUM(D175+H175+L175+P175+T175+X175)</f>
        <v>0</v>
      </c>
      <c r="AC175" s="26">
        <f>SUM(E175+I175+Q175+U175+M175+Y175)</f>
        <v>0</v>
      </c>
      <c r="AD175" s="25"/>
    </row>
    <row r="176" spans="1:30" ht="16.5">
      <c r="A176" s="5" t="s">
        <v>282</v>
      </c>
      <c r="B176" s="5" t="s">
        <v>159</v>
      </c>
      <c r="C176" s="27">
        <f>SUM(C177+C178+C179)</f>
        <v>0</v>
      </c>
      <c r="D176" s="27">
        <f aca="true" t="shared" si="83" ref="D176:AD176">SUM(D177+D178+D179)</f>
        <v>0</v>
      </c>
      <c r="E176" s="27">
        <f t="shared" si="83"/>
        <v>0</v>
      </c>
      <c r="F176" s="27"/>
      <c r="G176" s="27">
        <f t="shared" si="83"/>
        <v>0</v>
      </c>
      <c r="H176" s="27">
        <f t="shared" si="83"/>
        <v>0</v>
      </c>
      <c r="I176" s="27">
        <f t="shared" si="83"/>
        <v>0</v>
      </c>
      <c r="J176" s="27"/>
      <c r="K176" s="27">
        <f t="shared" si="83"/>
        <v>0</v>
      </c>
      <c r="L176" s="27">
        <f t="shared" si="83"/>
        <v>0</v>
      </c>
      <c r="M176" s="27">
        <f t="shared" si="83"/>
        <v>0</v>
      </c>
      <c r="N176" s="27"/>
      <c r="O176" s="27">
        <f t="shared" si="83"/>
        <v>0</v>
      </c>
      <c r="P176" s="27">
        <f t="shared" si="83"/>
        <v>0</v>
      </c>
      <c r="Q176" s="27">
        <f t="shared" si="83"/>
        <v>0</v>
      </c>
      <c r="R176" s="27"/>
      <c r="S176" s="27">
        <f t="shared" si="83"/>
        <v>0</v>
      </c>
      <c r="T176" s="27">
        <f t="shared" si="83"/>
        <v>0</v>
      </c>
      <c r="U176" s="27">
        <f t="shared" si="83"/>
        <v>0</v>
      </c>
      <c r="V176" s="27"/>
      <c r="W176" s="27">
        <f t="shared" si="83"/>
        <v>0</v>
      </c>
      <c r="X176" s="27">
        <f t="shared" si="83"/>
        <v>0</v>
      </c>
      <c r="Y176" s="27">
        <f t="shared" si="83"/>
        <v>0</v>
      </c>
      <c r="Z176" s="27"/>
      <c r="AA176" s="30">
        <f t="shared" si="83"/>
        <v>0</v>
      </c>
      <c r="AB176" s="30">
        <f t="shared" si="83"/>
        <v>0</v>
      </c>
      <c r="AC176" s="30">
        <f t="shared" si="83"/>
        <v>0</v>
      </c>
      <c r="AD176" s="27">
        <f t="shared" si="83"/>
        <v>0</v>
      </c>
    </row>
    <row r="177" spans="1:30" ht="16.5">
      <c r="A177" s="4" t="s">
        <v>283</v>
      </c>
      <c r="B177" s="4" t="s">
        <v>155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6">
        <f aca="true" t="shared" si="84" ref="AA177:AB179">SUM(C177+G177+K177+O177+S177+W177)</f>
        <v>0</v>
      </c>
      <c r="AB177" s="26">
        <f t="shared" si="84"/>
        <v>0</v>
      </c>
      <c r="AC177" s="26">
        <f>SUM(E177+I177+Q177+U177+M177+Y177)</f>
        <v>0</v>
      </c>
      <c r="AD177" s="29"/>
    </row>
    <row r="178" spans="1:30" ht="16.5">
      <c r="A178" s="4" t="s">
        <v>284</v>
      </c>
      <c r="B178" s="4" t="s">
        <v>162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6">
        <f t="shared" si="84"/>
        <v>0</v>
      </c>
      <c r="AB178" s="26">
        <f t="shared" si="84"/>
        <v>0</v>
      </c>
      <c r="AC178" s="26">
        <f>SUM(E178+I178+Q178+U178+M178+Y178)</f>
        <v>0</v>
      </c>
      <c r="AD178" s="29"/>
    </row>
    <row r="179" spans="1:30" ht="16.5">
      <c r="A179" s="4" t="s">
        <v>285</v>
      </c>
      <c r="B179" s="4" t="s">
        <v>164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6">
        <f t="shared" si="84"/>
        <v>0</v>
      </c>
      <c r="AB179" s="26">
        <f t="shared" si="84"/>
        <v>0</v>
      </c>
      <c r="AC179" s="26">
        <f>SUM(E179+I179+Q179+U179+M179+Y179)</f>
        <v>0</v>
      </c>
      <c r="AD179" s="29"/>
    </row>
    <row r="180" spans="1:30" ht="16.5">
      <c r="A180" s="5" t="s">
        <v>286</v>
      </c>
      <c r="B180" s="5" t="s">
        <v>166</v>
      </c>
      <c r="C180" s="27">
        <f>SUM(C181+C182+C183+C184)</f>
        <v>0</v>
      </c>
      <c r="D180" s="27">
        <f aca="true" t="shared" si="85" ref="D180:AD180">SUM(D181+D182+D183+D184)</f>
        <v>0</v>
      </c>
      <c r="E180" s="27">
        <f t="shared" si="85"/>
        <v>0</v>
      </c>
      <c r="F180" s="27"/>
      <c r="G180" s="27">
        <f t="shared" si="85"/>
        <v>0</v>
      </c>
      <c r="H180" s="27">
        <f t="shared" si="85"/>
        <v>0</v>
      </c>
      <c r="I180" s="27">
        <f t="shared" si="85"/>
        <v>0</v>
      </c>
      <c r="J180" s="27"/>
      <c r="K180" s="27">
        <f t="shared" si="85"/>
        <v>0</v>
      </c>
      <c r="L180" s="27">
        <f t="shared" si="85"/>
        <v>0</v>
      </c>
      <c r="M180" s="27">
        <f t="shared" si="85"/>
        <v>0</v>
      </c>
      <c r="N180" s="27"/>
      <c r="O180" s="27">
        <f t="shared" si="85"/>
        <v>0</v>
      </c>
      <c r="P180" s="27">
        <f t="shared" si="85"/>
        <v>0</v>
      </c>
      <c r="Q180" s="27">
        <f t="shared" si="85"/>
        <v>0</v>
      </c>
      <c r="R180" s="27"/>
      <c r="S180" s="27">
        <f t="shared" si="85"/>
        <v>0</v>
      </c>
      <c r="T180" s="27">
        <f t="shared" si="85"/>
        <v>0</v>
      </c>
      <c r="U180" s="27">
        <f t="shared" si="85"/>
        <v>0</v>
      </c>
      <c r="V180" s="27"/>
      <c r="W180" s="27">
        <f t="shared" si="85"/>
        <v>0</v>
      </c>
      <c r="X180" s="27">
        <f t="shared" si="85"/>
        <v>0</v>
      </c>
      <c r="Y180" s="27">
        <f t="shared" si="85"/>
        <v>0</v>
      </c>
      <c r="Z180" s="27"/>
      <c r="AA180" s="30">
        <f t="shared" si="85"/>
        <v>0</v>
      </c>
      <c r="AB180" s="30">
        <f t="shared" si="85"/>
        <v>0</v>
      </c>
      <c r="AC180" s="30">
        <f t="shared" si="85"/>
        <v>0</v>
      </c>
      <c r="AD180" s="27">
        <f t="shared" si="85"/>
        <v>0</v>
      </c>
    </row>
    <row r="181" spans="1:30" ht="16.5">
      <c r="A181" s="4" t="s">
        <v>287</v>
      </c>
      <c r="B181" s="4" t="s">
        <v>171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6">
        <f aca="true" t="shared" si="86" ref="AA181:AB184">SUM(C181+G181+K181+O181+S181+W181)</f>
        <v>0</v>
      </c>
      <c r="AB181" s="26">
        <f t="shared" si="86"/>
        <v>0</v>
      </c>
      <c r="AC181" s="26">
        <f>SUM(E181+I181+Q181+U181+M181+Y181)</f>
        <v>0</v>
      </c>
      <c r="AD181" s="29"/>
    </row>
    <row r="182" spans="1:30" ht="16.5">
      <c r="A182" s="4" t="s">
        <v>288</v>
      </c>
      <c r="B182" s="4" t="s">
        <v>171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6">
        <f t="shared" si="86"/>
        <v>0</v>
      </c>
      <c r="AB182" s="26">
        <f t="shared" si="86"/>
        <v>0</v>
      </c>
      <c r="AC182" s="26">
        <f>SUM(E182+I182+Q182+U182+M182+Y182)</f>
        <v>0</v>
      </c>
      <c r="AD182" s="29"/>
    </row>
    <row r="183" spans="1:30" ht="16.5">
      <c r="A183" s="4" t="s">
        <v>289</v>
      </c>
      <c r="B183" s="4" t="s">
        <v>173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6">
        <f t="shared" si="86"/>
        <v>0</v>
      </c>
      <c r="AB183" s="26">
        <f t="shared" si="86"/>
        <v>0</v>
      </c>
      <c r="AC183" s="26">
        <f>SUM(E183+I183+Q183+U183+M183+Y183)</f>
        <v>0</v>
      </c>
      <c r="AD183" s="29"/>
    </row>
    <row r="184" spans="1:30" ht="16.5">
      <c r="A184" s="4" t="s">
        <v>290</v>
      </c>
      <c r="B184" s="4" t="s">
        <v>291</v>
      </c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6">
        <f t="shared" si="86"/>
        <v>0</v>
      </c>
      <c r="AB184" s="26">
        <f t="shared" si="86"/>
        <v>0</v>
      </c>
      <c r="AC184" s="26">
        <f>SUM(E184+I184+Q184+U184+M184+Y184)</f>
        <v>0</v>
      </c>
      <c r="AD184" s="29"/>
    </row>
    <row r="185" spans="1:30" ht="16.5">
      <c r="A185" s="8" t="s">
        <v>292</v>
      </c>
      <c r="B185" s="8" t="s">
        <v>177</v>
      </c>
      <c r="C185" s="24">
        <f>SUM(C186+C187+C188+C189+C190+C191+C192)</f>
        <v>18538</v>
      </c>
      <c r="D185" s="24">
        <f aca="true" t="shared" si="87" ref="D185:AD185">SUM(D186+D187+D188+D189+D190+D191+D192)</f>
        <v>18538</v>
      </c>
      <c r="E185" s="24">
        <f t="shared" si="87"/>
        <v>4298</v>
      </c>
      <c r="F185" s="24"/>
      <c r="G185" s="24">
        <f t="shared" si="87"/>
        <v>0</v>
      </c>
      <c r="H185" s="24">
        <f t="shared" si="87"/>
        <v>0</v>
      </c>
      <c r="I185" s="24">
        <f t="shared" si="87"/>
        <v>0</v>
      </c>
      <c r="J185" s="24"/>
      <c r="K185" s="24">
        <f t="shared" si="87"/>
        <v>0</v>
      </c>
      <c r="L185" s="24">
        <f t="shared" si="87"/>
        <v>0</v>
      </c>
      <c r="M185" s="24">
        <f t="shared" si="87"/>
        <v>0</v>
      </c>
      <c r="N185" s="24"/>
      <c r="O185" s="24">
        <f t="shared" si="87"/>
        <v>0</v>
      </c>
      <c r="P185" s="24">
        <f t="shared" si="87"/>
        <v>0</v>
      </c>
      <c r="Q185" s="24">
        <f t="shared" si="87"/>
        <v>0</v>
      </c>
      <c r="R185" s="24"/>
      <c r="S185" s="24">
        <f t="shared" si="87"/>
        <v>0</v>
      </c>
      <c r="T185" s="24">
        <f t="shared" si="87"/>
        <v>0</v>
      </c>
      <c r="U185" s="24">
        <f t="shared" si="87"/>
        <v>0</v>
      </c>
      <c r="V185" s="24"/>
      <c r="W185" s="24">
        <f t="shared" si="87"/>
        <v>0</v>
      </c>
      <c r="X185" s="24">
        <f t="shared" si="87"/>
        <v>0</v>
      </c>
      <c r="Y185" s="24">
        <f t="shared" si="87"/>
        <v>0</v>
      </c>
      <c r="Z185" s="24"/>
      <c r="AA185" s="31">
        <f t="shared" si="87"/>
        <v>18538</v>
      </c>
      <c r="AB185" s="31">
        <f t="shared" si="87"/>
        <v>18538</v>
      </c>
      <c r="AC185" s="31">
        <f t="shared" si="87"/>
        <v>4298</v>
      </c>
      <c r="AD185" s="24">
        <f t="shared" si="87"/>
        <v>14240</v>
      </c>
    </row>
    <row r="186" spans="1:30" ht="16.5">
      <c r="A186" s="5" t="s">
        <v>293</v>
      </c>
      <c r="B186" s="5" t="s">
        <v>179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6">
        <f aca="true" t="shared" si="88" ref="AA186:AA192">SUM(C186+G186+K186+O186+S186+W186)</f>
        <v>0</v>
      </c>
      <c r="AB186" s="26">
        <f aca="true" t="shared" si="89" ref="AB186:AB192">SUM(D186+H186+L186+P186+T186+X186)</f>
        <v>0</v>
      </c>
      <c r="AC186" s="26">
        <f aca="true" t="shared" si="90" ref="AC186:AC192">SUM(E186+I186+Q186+U186+M186+Y186)</f>
        <v>0</v>
      </c>
      <c r="AD186" s="25"/>
    </row>
    <row r="187" spans="1:30" ht="16.5">
      <c r="A187" s="5" t="s">
        <v>294</v>
      </c>
      <c r="B187" s="5" t="s">
        <v>181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6">
        <f t="shared" si="88"/>
        <v>0</v>
      </c>
      <c r="AB187" s="26">
        <f t="shared" si="89"/>
        <v>0</v>
      </c>
      <c r="AC187" s="26">
        <f t="shared" si="90"/>
        <v>0</v>
      </c>
      <c r="AD187" s="25"/>
    </row>
    <row r="188" spans="1:30" ht="16.5">
      <c r="A188" s="5" t="s">
        <v>295</v>
      </c>
      <c r="B188" s="5" t="s">
        <v>183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6">
        <f t="shared" si="88"/>
        <v>0</v>
      </c>
      <c r="AB188" s="26">
        <f t="shared" si="89"/>
        <v>0</v>
      </c>
      <c r="AC188" s="26">
        <f t="shared" si="90"/>
        <v>0</v>
      </c>
      <c r="AD188" s="25"/>
    </row>
    <row r="189" spans="1:30" ht="16.5">
      <c r="A189" s="5" t="s">
        <v>296</v>
      </c>
      <c r="B189" s="5" t="s">
        <v>185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6">
        <f t="shared" si="88"/>
        <v>0</v>
      </c>
      <c r="AB189" s="26">
        <f t="shared" si="89"/>
        <v>0</v>
      </c>
      <c r="AC189" s="26">
        <f t="shared" si="90"/>
        <v>0</v>
      </c>
      <c r="AD189" s="25"/>
    </row>
    <row r="190" spans="1:30" ht="16.5">
      <c r="A190" s="5" t="s">
        <v>297</v>
      </c>
      <c r="B190" s="5" t="s">
        <v>187</v>
      </c>
      <c r="C190" s="25">
        <v>7528</v>
      </c>
      <c r="D190" s="25">
        <v>7528</v>
      </c>
      <c r="E190" s="25">
        <f>111+861+338+199+490+419+324</f>
        <v>2742</v>
      </c>
      <c r="F190" s="25">
        <f>C190-E190</f>
        <v>4786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6">
        <f t="shared" si="88"/>
        <v>7528</v>
      </c>
      <c r="AB190" s="26">
        <f t="shared" si="89"/>
        <v>7528</v>
      </c>
      <c r="AC190" s="26">
        <f t="shared" si="90"/>
        <v>2742</v>
      </c>
      <c r="AD190" s="25">
        <f>AA190-AC190</f>
        <v>4786</v>
      </c>
    </row>
    <row r="191" spans="1:30" ht="16.5">
      <c r="A191" s="5" t="s">
        <v>298</v>
      </c>
      <c r="B191" s="5" t="s">
        <v>189</v>
      </c>
      <c r="C191" s="25">
        <v>5726</v>
      </c>
      <c r="D191" s="25">
        <v>5726</v>
      </c>
      <c r="E191" s="25">
        <f>158+171+253+359+325+128+111+51</f>
        <v>1556</v>
      </c>
      <c r="F191" s="25">
        <f>C191-E191</f>
        <v>4170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6">
        <f t="shared" si="88"/>
        <v>5726</v>
      </c>
      <c r="AB191" s="26">
        <f t="shared" si="89"/>
        <v>5726</v>
      </c>
      <c r="AC191" s="26">
        <f t="shared" si="90"/>
        <v>1556</v>
      </c>
      <c r="AD191" s="25">
        <f>AA191-AC191</f>
        <v>4170</v>
      </c>
    </row>
    <row r="192" spans="1:30" ht="16.5">
      <c r="A192" s="5" t="s">
        <v>299</v>
      </c>
      <c r="B192" s="5" t="s">
        <v>191</v>
      </c>
      <c r="C192" s="25">
        <v>5284</v>
      </c>
      <c r="D192" s="25">
        <v>5284</v>
      </c>
      <c r="E192" s="25"/>
      <c r="F192" s="25">
        <f>C192-E192</f>
        <v>5284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6">
        <f t="shared" si="88"/>
        <v>5284</v>
      </c>
      <c r="AB192" s="26">
        <f t="shared" si="89"/>
        <v>5284</v>
      </c>
      <c r="AC192" s="26">
        <f t="shared" si="90"/>
        <v>0</v>
      </c>
      <c r="AD192" s="25">
        <f>AA192-AC192</f>
        <v>5284</v>
      </c>
    </row>
    <row r="193" spans="1:30" ht="16.5">
      <c r="A193" s="8" t="s">
        <v>300</v>
      </c>
      <c r="B193" s="8" t="s">
        <v>193</v>
      </c>
      <c r="C193" s="24">
        <f>SUM(C194+C197+C198+C200)</f>
        <v>4260</v>
      </c>
      <c r="D193" s="24">
        <f aca="true" t="shared" si="91" ref="D193:AD193">SUM(D194+D197+D198+D200)</f>
        <v>4260</v>
      </c>
      <c r="E193" s="24">
        <f t="shared" si="91"/>
        <v>6909</v>
      </c>
      <c r="F193" s="24"/>
      <c r="G193" s="24">
        <f t="shared" si="91"/>
        <v>0</v>
      </c>
      <c r="H193" s="24">
        <f t="shared" si="91"/>
        <v>0</v>
      </c>
      <c r="I193" s="24">
        <f t="shared" si="91"/>
        <v>0</v>
      </c>
      <c r="J193" s="24"/>
      <c r="K193" s="24">
        <f t="shared" si="91"/>
        <v>0</v>
      </c>
      <c r="L193" s="24">
        <f t="shared" si="91"/>
        <v>0</v>
      </c>
      <c r="M193" s="24">
        <f t="shared" si="91"/>
        <v>0</v>
      </c>
      <c r="N193" s="24"/>
      <c r="O193" s="24">
        <f t="shared" si="91"/>
        <v>0</v>
      </c>
      <c r="P193" s="24">
        <f t="shared" si="91"/>
        <v>0</v>
      </c>
      <c r="Q193" s="24">
        <f t="shared" si="91"/>
        <v>0</v>
      </c>
      <c r="R193" s="24"/>
      <c r="S193" s="24">
        <f t="shared" si="91"/>
        <v>0</v>
      </c>
      <c r="T193" s="24">
        <f t="shared" si="91"/>
        <v>0</v>
      </c>
      <c r="U193" s="24">
        <f t="shared" si="91"/>
        <v>0</v>
      </c>
      <c r="V193" s="24"/>
      <c r="W193" s="24">
        <f t="shared" si="91"/>
        <v>0</v>
      </c>
      <c r="X193" s="24">
        <f t="shared" si="91"/>
        <v>0</v>
      </c>
      <c r="Y193" s="24">
        <f t="shared" si="91"/>
        <v>0</v>
      </c>
      <c r="Z193" s="24"/>
      <c r="AA193" s="31">
        <f t="shared" si="91"/>
        <v>4260</v>
      </c>
      <c r="AB193" s="31">
        <f t="shared" si="91"/>
        <v>4260</v>
      </c>
      <c r="AC193" s="31">
        <f t="shared" si="91"/>
        <v>6909</v>
      </c>
      <c r="AD193" s="24">
        <f t="shared" si="91"/>
        <v>-2649</v>
      </c>
    </row>
    <row r="194" spans="1:30" ht="16.5">
      <c r="A194" s="5" t="s">
        <v>301</v>
      </c>
      <c r="B194" s="5" t="s">
        <v>195</v>
      </c>
      <c r="C194" s="27">
        <f>SUM(C195+C196)</f>
        <v>2000</v>
      </c>
      <c r="D194" s="27">
        <f aca="true" t="shared" si="92" ref="D194:AD194">SUM(D195+D196)</f>
        <v>2000</v>
      </c>
      <c r="E194" s="27">
        <f t="shared" si="92"/>
        <v>0</v>
      </c>
      <c r="F194" s="27"/>
      <c r="G194" s="27">
        <f t="shared" si="92"/>
        <v>0</v>
      </c>
      <c r="H194" s="27">
        <f t="shared" si="92"/>
        <v>0</v>
      </c>
      <c r="I194" s="27">
        <f t="shared" si="92"/>
        <v>0</v>
      </c>
      <c r="J194" s="27"/>
      <c r="K194" s="27">
        <f t="shared" si="92"/>
        <v>0</v>
      </c>
      <c r="L194" s="27">
        <f t="shared" si="92"/>
        <v>0</v>
      </c>
      <c r="M194" s="27">
        <f t="shared" si="92"/>
        <v>0</v>
      </c>
      <c r="N194" s="27"/>
      <c r="O194" s="27">
        <f t="shared" si="92"/>
        <v>0</v>
      </c>
      <c r="P194" s="27">
        <f t="shared" si="92"/>
        <v>0</v>
      </c>
      <c r="Q194" s="27">
        <f t="shared" si="92"/>
        <v>0</v>
      </c>
      <c r="R194" s="27"/>
      <c r="S194" s="27">
        <f t="shared" si="92"/>
        <v>0</v>
      </c>
      <c r="T194" s="27">
        <f t="shared" si="92"/>
        <v>0</v>
      </c>
      <c r="U194" s="27">
        <f t="shared" si="92"/>
        <v>0</v>
      </c>
      <c r="V194" s="27"/>
      <c r="W194" s="27">
        <f t="shared" si="92"/>
        <v>0</v>
      </c>
      <c r="X194" s="27">
        <f t="shared" si="92"/>
        <v>0</v>
      </c>
      <c r="Y194" s="27">
        <f t="shared" si="92"/>
        <v>0</v>
      </c>
      <c r="Z194" s="27"/>
      <c r="AA194" s="30">
        <f t="shared" si="92"/>
        <v>2000</v>
      </c>
      <c r="AB194" s="30">
        <f t="shared" si="92"/>
        <v>2000</v>
      </c>
      <c r="AC194" s="30">
        <f t="shared" si="92"/>
        <v>0</v>
      </c>
      <c r="AD194" s="27">
        <f t="shared" si="92"/>
        <v>2000</v>
      </c>
    </row>
    <row r="195" spans="1:30" ht="16.5">
      <c r="A195" s="4" t="s">
        <v>302</v>
      </c>
      <c r="B195" s="4" t="s">
        <v>197</v>
      </c>
      <c r="C195" s="25">
        <v>1000</v>
      </c>
      <c r="D195" s="25">
        <v>1000</v>
      </c>
      <c r="E195" s="25"/>
      <c r="F195" s="25">
        <f>C195-E195</f>
        <v>1000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6">
        <f aca="true" t="shared" si="93" ref="AA195:AB197">SUM(C195+G195+K195+O195+S195+W195)</f>
        <v>1000</v>
      </c>
      <c r="AB195" s="26">
        <f t="shared" si="93"/>
        <v>1000</v>
      </c>
      <c r="AC195" s="26">
        <f>SUM(E195+I195+Q195+U195+M195+Y195)</f>
        <v>0</v>
      </c>
      <c r="AD195" s="25">
        <f>AA195-AC195</f>
        <v>1000</v>
      </c>
    </row>
    <row r="196" spans="1:30" ht="16.5">
      <c r="A196" s="4" t="s">
        <v>303</v>
      </c>
      <c r="B196" s="4" t="s">
        <v>199</v>
      </c>
      <c r="C196" s="25">
        <v>1000</v>
      </c>
      <c r="D196" s="25">
        <v>1000</v>
      </c>
      <c r="E196" s="25"/>
      <c r="F196" s="25">
        <f>C196-E196</f>
        <v>1000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6">
        <f t="shared" si="93"/>
        <v>1000</v>
      </c>
      <c r="AB196" s="26">
        <f t="shared" si="93"/>
        <v>1000</v>
      </c>
      <c r="AC196" s="26">
        <f>SUM(E196+I196+Q196+U196+M196+Y196)</f>
        <v>0</v>
      </c>
      <c r="AD196" s="25">
        <f>AA196-AC196</f>
        <v>1000</v>
      </c>
    </row>
    <row r="197" spans="1:30" ht="16.5">
      <c r="A197" s="5" t="s">
        <v>304</v>
      </c>
      <c r="B197" s="5" t="s">
        <v>201</v>
      </c>
      <c r="C197" s="25">
        <v>600</v>
      </c>
      <c r="D197" s="25">
        <v>600</v>
      </c>
      <c r="E197" s="25">
        <f>32+59</f>
        <v>91</v>
      </c>
      <c r="F197" s="25">
        <f>C197-E197</f>
        <v>509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6">
        <f t="shared" si="93"/>
        <v>600</v>
      </c>
      <c r="AB197" s="26">
        <f t="shared" si="93"/>
        <v>600</v>
      </c>
      <c r="AC197" s="26">
        <f>SUM(E197+I197+Q197+U197+M197+Y197)</f>
        <v>91</v>
      </c>
      <c r="AD197" s="25">
        <f>AA197-AC197</f>
        <v>509</v>
      </c>
    </row>
    <row r="198" spans="1:30" ht="16.5">
      <c r="A198" s="5" t="s">
        <v>305</v>
      </c>
      <c r="B198" s="5" t="s">
        <v>203</v>
      </c>
      <c r="C198" s="27">
        <f>SUM(C199)</f>
        <v>1360</v>
      </c>
      <c r="D198" s="27">
        <f aca="true" t="shared" si="94" ref="D198:AD198">SUM(D199)</f>
        <v>1360</v>
      </c>
      <c r="E198" s="27">
        <f t="shared" si="94"/>
        <v>6791</v>
      </c>
      <c r="F198" s="27"/>
      <c r="G198" s="27">
        <f t="shared" si="94"/>
        <v>0</v>
      </c>
      <c r="H198" s="27">
        <f t="shared" si="94"/>
        <v>0</v>
      </c>
      <c r="I198" s="27">
        <f t="shared" si="94"/>
        <v>0</v>
      </c>
      <c r="J198" s="27"/>
      <c r="K198" s="27">
        <f t="shared" si="94"/>
        <v>0</v>
      </c>
      <c r="L198" s="27">
        <f t="shared" si="94"/>
        <v>0</v>
      </c>
      <c r="M198" s="27">
        <f t="shared" si="94"/>
        <v>0</v>
      </c>
      <c r="N198" s="27"/>
      <c r="O198" s="27">
        <f t="shared" si="94"/>
        <v>0</v>
      </c>
      <c r="P198" s="27">
        <f t="shared" si="94"/>
        <v>0</v>
      </c>
      <c r="Q198" s="27">
        <f t="shared" si="94"/>
        <v>0</v>
      </c>
      <c r="R198" s="27"/>
      <c r="S198" s="27">
        <f t="shared" si="94"/>
        <v>0</v>
      </c>
      <c r="T198" s="27">
        <f t="shared" si="94"/>
        <v>0</v>
      </c>
      <c r="U198" s="27">
        <f t="shared" si="94"/>
        <v>0</v>
      </c>
      <c r="V198" s="27"/>
      <c r="W198" s="27">
        <f t="shared" si="94"/>
        <v>0</v>
      </c>
      <c r="X198" s="27">
        <f t="shared" si="94"/>
        <v>0</v>
      </c>
      <c r="Y198" s="27">
        <f t="shared" si="94"/>
        <v>0</v>
      </c>
      <c r="Z198" s="27"/>
      <c r="AA198" s="30">
        <f t="shared" si="94"/>
        <v>1360</v>
      </c>
      <c r="AB198" s="30">
        <f t="shared" si="94"/>
        <v>1360</v>
      </c>
      <c r="AC198" s="30">
        <f t="shared" si="94"/>
        <v>6791</v>
      </c>
      <c r="AD198" s="27">
        <f t="shared" si="94"/>
        <v>-5431</v>
      </c>
    </row>
    <row r="199" spans="1:30" ht="16.5">
      <c r="A199" s="4" t="s">
        <v>306</v>
      </c>
      <c r="B199" s="4" t="s">
        <v>205</v>
      </c>
      <c r="C199" s="25">
        <v>1360</v>
      </c>
      <c r="D199" s="25">
        <v>1360</v>
      </c>
      <c r="E199" s="25">
        <f>677+3057+3057</f>
        <v>6791</v>
      </c>
      <c r="F199" s="25">
        <f>C199-E199</f>
        <v>-5431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6">
        <f>SUM(C199+G199+K199+O199+S199+W199)</f>
        <v>1360</v>
      </c>
      <c r="AB199" s="26">
        <f>SUM(D199+H199+L199+P199+T199+X199)</f>
        <v>1360</v>
      </c>
      <c r="AC199" s="26">
        <f>SUM(E199+I199+Q199+U199+M199+Y199)</f>
        <v>6791</v>
      </c>
      <c r="AD199" s="25">
        <f>AA199-AC199</f>
        <v>-5431</v>
      </c>
    </row>
    <row r="200" spans="1:30" ht="16.5">
      <c r="A200" s="5" t="s">
        <v>307</v>
      </c>
      <c r="B200" s="5" t="s">
        <v>207</v>
      </c>
      <c r="C200" s="25">
        <v>300</v>
      </c>
      <c r="D200" s="25">
        <v>300</v>
      </c>
      <c r="E200" s="25">
        <f>27</f>
        <v>27</v>
      </c>
      <c r="F200" s="25">
        <f>C200-E200</f>
        <v>273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6">
        <f>SUM(C200+G200+K200+O200+S200+W200)</f>
        <v>300</v>
      </c>
      <c r="AB200" s="26">
        <f>SUM(D200+H200+L200+P200+T200+X200)</f>
        <v>300</v>
      </c>
      <c r="AC200" s="26">
        <f>SUM(E200+I200+Q200+U200+M200+Y200)</f>
        <v>27</v>
      </c>
      <c r="AD200" s="25">
        <f>AA200-AC200</f>
        <v>273</v>
      </c>
    </row>
    <row r="201" spans="1:30" ht="16.5">
      <c r="A201" s="7" t="s">
        <v>308</v>
      </c>
      <c r="B201" s="7" t="s">
        <v>309</v>
      </c>
      <c r="C201" s="23">
        <f>SUM(C202+C203+C204+C205+C210+C211+C212+C213)</f>
        <v>59201</v>
      </c>
      <c r="D201" s="23">
        <f aca="true" t="shared" si="95" ref="D201:AD201">SUM(D202+D203+D204+D205+D210+D211+D212+D213)</f>
        <v>59201</v>
      </c>
      <c r="E201" s="23">
        <f t="shared" si="95"/>
        <v>18174</v>
      </c>
      <c r="F201" s="23"/>
      <c r="G201" s="23">
        <f t="shared" si="95"/>
        <v>0</v>
      </c>
      <c r="H201" s="23">
        <f t="shared" si="95"/>
        <v>0</v>
      </c>
      <c r="I201" s="23">
        <f t="shared" si="95"/>
        <v>0</v>
      </c>
      <c r="J201" s="23"/>
      <c r="K201" s="23">
        <f t="shared" si="95"/>
        <v>0</v>
      </c>
      <c r="L201" s="23">
        <f t="shared" si="95"/>
        <v>0</v>
      </c>
      <c r="M201" s="23">
        <f t="shared" si="95"/>
        <v>0</v>
      </c>
      <c r="N201" s="23"/>
      <c r="O201" s="23">
        <f t="shared" si="95"/>
        <v>0</v>
      </c>
      <c r="P201" s="23">
        <f t="shared" si="95"/>
        <v>0</v>
      </c>
      <c r="Q201" s="23">
        <f t="shared" si="95"/>
        <v>0</v>
      </c>
      <c r="R201" s="23"/>
      <c r="S201" s="23">
        <f t="shared" si="95"/>
        <v>0</v>
      </c>
      <c r="T201" s="23">
        <f t="shared" si="95"/>
        <v>0</v>
      </c>
      <c r="U201" s="23">
        <f t="shared" si="95"/>
        <v>0</v>
      </c>
      <c r="V201" s="23"/>
      <c r="W201" s="23">
        <f t="shared" si="95"/>
        <v>0</v>
      </c>
      <c r="X201" s="23">
        <f t="shared" si="95"/>
        <v>0</v>
      </c>
      <c r="Y201" s="23">
        <f t="shared" si="95"/>
        <v>0</v>
      </c>
      <c r="Z201" s="23"/>
      <c r="AA201" s="32">
        <f t="shared" si="95"/>
        <v>59201</v>
      </c>
      <c r="AB201" s="32">
        <f t="shared" si="95"/>
        <v>59201</v>
      </c>
      <c r="AC201" s="32">
        <f t="shared" si="95"/>
        <v>18174</v>
      </c>
      <c r="AD201" s="23">
        <f t="shared" si="95"/>
        <v>41027</v>
      </c>
    </row>
    <row r="202" spans="1:30" ht="16.5">
      <c r="A202" s="8" t="s">
        <v>310</v>
      </c>
      <c r="B202" s="8" t="s">
        <v>311</v>
      </c>
      <c r="C202" s="33">
        <v>38837</v>
      </c>
      <c r="D202" s="33">
        <v>38837</v>
      </c>
      <c r="E202" s="33">
        <f>1503+4108+1450+2981</f>
        <v>10042</v>
      </c>
      <c r="F202" s="33">
        <f>C202-E202</f>
        <v>28795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26">
        <f aca="true" t="shared" si="96" ref="AA202:AB204">SUM(C202+G202+K202+O202+S202+W202)</f>
        <v>38837</v>
      </c>
      <c r="AB202" s="26">
        <f t="shared" si="96"/>
        <v>38837</v>
      </c>
      <c r="AC202" s="26">
        <f>SUM(E202+I202+Q202+U202+M202+Y202)</f>
        <v>10042</v>
      </c>
      <c r="AD202" s="33">
        <f>AA202-AC202</f>
        <v>28795</v>
      </c>
    </row>
    <row r="203" spans="1:30" ht="16.5">
      <c r="A203" s="8" t="s">
        <v>312</v>
      </c>
      <c r="B203" s="8" t="s">
        <v>313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26">
        <f t="shared" si="96"/>
        <v>0</v>
      </c>
      <c r="AB203" s="26">
        <f t="shared" si="96"/>
        <v>0</v>
      </c>
      <c r="AC203" s="26">
        <f>SUM(E203+I203+Q203+U203+M203+Y203)</f>
        <v>0</v>
      </c>
      <c r="AD203" s="33">
        <f>AA203-AC203</f>
        <v>0</v>
      </c>
    </row>
    <row r="204" spans="1:30" ht="16.5">
      <c r="A204" s="8" t="s">
        <v>314</v>
      </c>
      <c r="B204" s="8" t="s">
        <v>315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26">
        <f t="shared" si="96"/>
        <v>0</v>
      </c>
      <c r="AB204" s="26">
        <f t="shared" si="96"/>
        <v>0</v>
      </c>
      <c r="AC204" s="26">
        <f>SUM(E204+I204+Q204+U204+M204+Y204)</f>
        <v>0</v>
      </c>
      <c r="AD204" s="33">
        <f>AA204-AC204</f>
        <v>0</v>
      </c>
    </row>
    <row r="205" spans="1:30" ht="16.5">
      <c r="A205" s="8" t="s">
        <v>316</v>
      </c>
      <c r="B205" s="8" t="s">
        <v>317</v>
      </c>
      <c r="C205" s="24">
        <f>SUM(C206+C207+C208+C209)</f>
        <v>19364</v>
      </c>
      <c r="D205" s="24">
        <f aca="true" t="shared" si="97" ref="D205:AD205">SUM(D206+D207+D208+D209)</f>
        <v>19364</v>
      </c>
      <c r="E205" s="24">
        <f t="shared" si="97"/>
        <v>7927</v>
      </c>
      <c r="F205" s="24"/>
      <c r="G205" s="24">
        <f t="shared" si="97"/>
        <v>0</v>
      </c>
      <c r="H205" s="24">
        <f t="shared" si="97"/>
        <v>0</v>
      </c>
      <c r="I205" s="24">
        <f t="shared" si="97"/>
        <v>0</v>
      </c>
      <c r="J205" s="24"/>
      <c r="K205" s="24">
        <f t="shared" si="97"/>
        <v>0</v>
      </c>
      <c r="L205" s="24">
        <f t="shared" si="97"/>
        <v>0</v>
      </c>
      <c r="M205" s="24">
        <f t="shared" si="97"/>
        <v>0</v>
      </c>
      <c r="N205" s="24"/>
      <c r="O205" s="24">
        <f t="shared" si="97"/>
        <v>0</v>
      </c>
      <c r="P205" s="24">
        <f t="shared" si="97"/>
        <v>0</v>
      </c>
      <c r="Q205" s="24">
        <f t="shared" si="97"/>
        <v>0</v>
      </c>
      <c r="R205" s="24"/>
      <c r="S205" s="24">
        <f t="shared" si="97"/>
        <v>0</v>
      </c>
      <c r="T205" s="24">
        <f t="shared" si="97"/>
        <v>0</v>
      </c>
      <c r="U205" s="24">
        <f t="shared" si="97"/>
        <v>0</v>
      </c>
      <c r="V205" s="24"/>
      <c r="W205" s="24">
        <f t="shared" si="97"/>
        <v>0</v>
      </c>
      <c r="X205" s="24">
        <f t="shared" si="97"/>
        <v>0</v>
      </c>
      <c r="Y205" s="24">
        <f t="shared" si="97"/>
        <v>0</v>
      </c>
      <c r="Z205" s="24"/>
      <c r="AA205" s="31">
        <f t="shared" si="97"/>
        <v>19364</v>
      </c>
      <c r="AB205" s="31">
        <f t="shared" si="97"/>
        <v>19364</v>
      </c>
      <c r="AC205" s="31">
        <f t="shared" si="97"/>
        <v>7927</v>
      </c>
      <c r="AD205" s="24">
        <f t="shared" si="97"/>
        <v>11437</v>
      </c>
    </row>
    <row r="206" spans="1:30" ht="16.5">
      <c r="A206" s="5" t="s">
        <v>735</v>
      </c>
      <c r="B206" s="5" t="s">
        <v>736</v>
      </c>
      <c r="C206" s="25">
        <v>18120</v>
      </c>
      <c r="D206" s="25">
        <v>18120</v>
      </c>
      <c r="E206" s="25">
        <f>1675+1428+439+439+439+439</f>
        <v>4859</v>
      </c>
      <c r="F206" s="25">
        <f>C206-E206</f>
        <v>13261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6">
        <f aca="true" t="shared" si="98" ref="AA206:AA212">SUM(C206+G206+K206+O206+S206+W206)</f>
        <v>18120</v>
      </c>
      <c r="AB206" s="26">
        <f aca="true" t="shared" si="99" ref="AB206:AB212">SUM(D206+H206+L206+P206+T206+X206)</f>
        <v>18120</v>
      </c>
      <c r="AC206" s="26">
        <f aca="true" t="shared" si="100" ref="AC206:AC212">SUM(E206+I206+Q206+U206+M206+Y206)</f>
        <v>4859</v>
      </c>
      <c r="AD206" s="25">
        <f>AA206-AC206</f>
        <v>13261</v>
      </c>
    </row>
    <row r="207" spans="1:30" ht="16.5">
      <c r="A207" s="5" t="s">
        <v>737</v>
      </c>
      <c r="B207" s="5" t="s">
        <v>145</v>
      </c>
      <c r="C207" s="25">
        <v>544</v>
      </c>
      <c r="D207" s="25">
        <v>544</v>
      </c>
      <c r="E207" s="25">
        <f>10+10+10+10+10+10</f>
        <v>60</v>
      </c>
      <c r="F207" s="25">
        <f>C207-E207</f>
        <v>484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6">
        <f t="shared" si="98"/>
        <v>544</v>
      </c>
      <c r="AB207" s="26">
        <f t="shared" si="99"/>
        <v>544</v>
      </c>
      <c r="AC207" s="26">
        <f t="shared" si="100"/>
        <v>60</v>
      </c>
      <c r="AD207" s="25">
        <f aca="true" t="shared" si="101" ref="AD207:AD212">AA207-AC207</f>
        <v>484</v>
      </c>
    </row>
    <row r="208" spans="1:30" ht="16.5">
      <c r="A208" s="5" t="s">
        <v>738</v>
      </c>
      <c r="B208" s="5" t="s">
        <v>177</v>
      </c>
      <c r="C208" s="25"/>
      <c r="D208" s="25"/>
      <c r="E208" s="25">
        <v>0</v>
      </c>
      <c r="F208" s="25">
        <f>C208-E208</f>
        <v>0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6">
        <f t="shared" si="98"/>
        <v>0</v>
      </c>
      <c r="AB208" s="26">
        <f t="shared" si="99"/>
        <v>0</v>
      </c>
      <c r="AC208" s="26">
        <f t="shared" si="100"/>
        <v>0</v>
      </c>
      <c r="AD208" s="25">
        <f t="shared" si="101"/>
        <v>0</v>
      </c>
    </row>
    <row r="209" spans="1:30" ht="16.5">
      <c r="A209" s="5" t="s">
        <v>739</v>
      </c>
      <c r="B209" s="5" t="s">
        <v>193</v>
      </c>
      <c r="C209" s="25">
        <v>700</v>
      </c>
      <c r="D209" s="25">
        <v>700</v>
      </c>
      <c r="E209" s="25">
        <f>646+72+900+100+661+73+556</f>
        <v>3008</v>
      </c>
      <c r="F209" s="25">
        <f>C209-E209</f>
        <v>-2308</v>
      </c>
      <c r="G209" s="25"/>
      <c r="H209" s="25"/>
      <c r="I209" s="25"/>
      <c r="J209" s="25"/>
      <c r="K209" s="25"/>
      <c r="L209" s="25"/>
      <c r="M209" s="25">
        <v>0</v>
      </c>
      <c r="N209" s="25">
        <f>L209-M209</f>
        <v>0</v>
      </c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6">
        <f t="shared" si="98"/>
        <v>700</v>
      </c>
      <c r="AB209" s="26">
        <f t="shared" si="99"/>
        <v>700</v>
      </c>
      <c r="AC209" s="26">
        <f t="shared" si="100"/>
        <v>3008</v>
      </c>
      <c r="AD209" s="25">
        <f t="shared" si="101"/>
        <v>-2308</v>
      </c>
    </row>
    <row r="210" spans="1:30" ht="16.5">
      <c r="A210" s="8" t="s">
        <v>318</v>
      </c>
      <c r="B210" s="8" t="s">
        <v>319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26">
        <f t="shared" si="98"/>
        <v>0</v>
      </c>
      <c r="AB210" s="26">
        <f t="shared" si="99"/>
        <v>0</v>
      </c>
      <c r="AC210" s="26">
        <f t="shared" si="100"/>
        <v>0</v>
      </c>
      <c r="AD210" s="25">
        <f t="shared" si="101"/>
        <v>0</v>
      </c>
    </row>
    <row r="211" spans="1:30" ht="16.5">
      <c r="A211" s="8" t="s">
        <v>320</v>
      </c>
      <c r="B211" s="8" t="s">
        <v>321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26">
        <f t="shared" si="98"/>
        <v>0</v>
      </c>
      <c r="AB211" s="26">
        <f t="shared" si="99"/>
        <v>0</v>
      </c>
      <c r="AC211" s="26">
        <f t="shared" si="100"/>
        <v>0</v>
      </c>
      <c r="AD211" s="25">
        <f t="shared" si="101"/>
        <v>0</v>
      </c>
    </row>
    <row r="212" spans="1:30" ht="16.5">
      <c r="A212" s="8" t="s">
        <v>322</v>
      </c>
      <c r="B212" s="8" t="s">
        <v>323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26">
        <f t="shared" si="98"/>
        <v>0</v>
      </c>
      <c r="AB212" s="26">
        <f t="shared" si="99"/>
        <v>0</v>
      </c>
      <c r="AC212" s="26">
        <f t="shared" si="100"/>
        <v>0</v>
      </c>
      <c r="AD212" s="25">
        <f t="shared" si="101"/>
        <v>0</v>
      </c>
    </row>
    <row r="213" spans="1:30" ht="16.5">
      <c r="A213" s="8" t="s">
        <v>324</v>
      </c>
      <c r="B213" s="8" t="s">
        <v>325</v>
      </c>
      <c r="C213" s="24">
        <f>SUM(C214+C215)</f>
        <v>1000</v>
      </c>
      <c r="D213" s="24">
        <f aca="true" t="shared" si="102" ref="D213:AD213">SUM(D214+D215)</f>
        <v>1000</v>
      </c>
      <c r="E213" s="24">
        <f t="shared" si="102"/>
        <v>205</v>
      </c>
      <c r="F213" s="24"/>
      <c r="G213" s="24">
        <f t="shared" si="102"/>
        <v>0</v>
      </c>
      <c r="H213" s="24">
        <f t="shared" si="102"/>
        <v>0</v>
      </c>
      <c r="I213" s="24">
        <f t="shared" si="102"/>
        <v>0</v>
      </c>
      <c r="J213" s="24"/>
      <c r="K213" s="24">
        <f t="shared" si="102"/>
        <v>0</v>
      </c>
      <c r="L213" s="24">
        <f t="shared" si="102"/>
        <v>0</v>
      </c>
      <c r="M213" s="24">
        <f t="shared" si="102"/>
        <v>0</v>
      </c>
      <c r="N213" s="24"/>
      <c r="O213" s="24">
        <f t="shared" si="102"/>
        <v>0</v>
      </c>
      <c r="P213" s="24">
        <f t="shared" si="102"/>
        <v>0</v>
      </c>
      <c r="Q213" s="24">
        <f t="shared" si="102"/>
        <v>0</v>
      </c>
      <c r="R213" s="24"/>
      <c r="S213" s="24">
        <f t="shared" si="102"/>
        <v>0</v>
      </c>
      <c r="T213" s="24">
        <f t="shared" si="102"/>
        <v>0</v>
      </c>
      <c r="U213" s="24">
        <f t="shared" si="102"/>
        <v>0</v>
      </c>
      <c r="V213" s="24"/>
      <c r="W213" s="24">
        <f t="shared" si="102"/>
        <v>0</v>
      </c>
      <c r="X213" s="24">
        <f t="shared" si="102"/>
        <v>0</v>
      </c>
      <c r="Y213" s="24">
        <f t="shared" si="102"/>
        <v>0</v>
      </c>
      <c r="Z213" s="24"/>
      <c r="AA213" s="31">
        <f t="shared" si="102"/>
        <v>1000</v>
      </c>
      <c r="AB213" s="31">
        <f t="shared" si="102"/>
        <v>1000</v>
      </c>
      <c r="AC213" s="31">
        <f t="shared" si="102"/>
        <v>205</v>
      </c>
      <c r="AD213" s="24">
        <f t="shared" si="102"/>
        <v>795</v>
      </c>
    </row>
    <row r="214" spans="1:30" ht="16.5">
      <c r="A214" s="5" t="s">
        <v>326</v>
      </c>
      <c r="B214" s="5" t="s">
        <v>327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6">
        <f>SUM(C214+G214+K214+O214+S214+W214)</f>
        <v>0</v>
      </c>
      <c r="AB214" s="26">
        <f>SUM(D214+H214+L214+P214+T214+X214)</f>
        <v>0</v>
      </c>
      <c r="AC214" s="26">
        <f>SUM(E214+I214+Q214+U214+M214+Y214)</f>
        <v>0</v>
      </c>
      <c r="AD214" s="25"/>
    </row>
    <row r="215" spans="1:30" ht="16.5">
      <c r="A215" s="5" t="s">
        <v>328</v>
      </c>
      <c r="B215" s="5" t="s">
        <v>325</v>
      </c>
      <c r="C215" s="25">
        <v>1000</v>
      </c>
      <c r="D215" s="25">
        <v>1000</v>
      </c>
      <c r="E215" s="25">
        <f>42+33+130</f>
        <v>205</v>
      </c>
      <c r="F215" s="25">
        <f>C215-E215</f>
        <v>795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6">
        <f>SUM(C215+G215+K215+O215+S215+W215)</f>
        <v>1000</v>
      </c>
      <c r="AB215" s="26">
        <f>SUM(D215+H215+L215+P215+T215+X215)</f>
        <v>1000</v>
      </c>
      <c r="AC215" s="26">
        <f>SUM(E215+I215+Q215+U215+M215+Y215)</f>
        <v>205</v>
      </c>
      <c r="AD215" s="25">
        <f>AA215-AC215</f>
        <v>795</v>
      </c>
    </row>
    <row r="216" spans="1:30" ht="16.5">
      <c r="A216" s="7" t="s">
        <v>329</v>
      </c>
      <c r="B216" s="7" t="s">
        <v>330</v>
      </c>
      <c r="C216" s="23">
        <f>SUM(C217+C219+C223)</f>
        <v>130577</v>
      </c>
      <c r="D216" s="23">
        <f aca="true" t="shared" si="103" ref="D216:AD216">SUM(D217+D219+D223)</f>
        <v>130577</v>
      </c>
      <c r="E216" s="23">
        <f t="shared" si="103"/>
        <v>46591</v>
      </c>
      <c r="F216" s="23"/>
      <c r="G216" s="23">
        <f t="shared" si="103"/>
        <v>14400</v>
      </c>
      <c r="H216" s="23">
        <f t="shared" si="103"/>
        <v>14400</v>
      </c>
      <c r="I216" s="23">
        <f t="shared" si="103"/>
        <v>6473</v>
      </c>
      <c r="J216" s="23"/>
      <c r="K216" s="23">
        <f t="shared" si="103"/>
        <v>60000</v>
      </c>
      <c r="L216" s="23">
        <f t="shared" si="103"/>
        <v>60000</v>
      </c>
      <c r="M216" s="23">
        <f t="shared" si="103"/>
        <v>24313</v>
      </c>
      <c r="N216" s="23"/>
      <c r="O216" s="23">
        <f t="shared" si="103"/>
        <v>31200</v>
      </c>
      <c r="P216" s="23">
        <f t="shared" si="103"/>
        <v>31200</v>
      </c>
      <c r="Q216" s="23">
        <f t="shared" si="103"/>
        <v>0</v>
      </c>
      <c r="R216" s="23"/>
      <c r="S216" s="23">
        <f t="shared" si="103"/>
        <v>10000</v>
      </c>
      <c r="T216" s="23">
        <f t="shared" si="103"/>
        <v>10000</v>
      </c>
      <c r="U216" s="23">
        <f t="shared" si="103"/>
        <v>0</v>
      </c>
      <c r="V216" s="23"/>
      <c r="W216" s="23">
        <f t="shared" si="103"/>
        <v>30000</v>
      </c>
      <c r="X216" s="23">
        <f t="shared" si="103"/>
        <v>30000</v>
      </c>
      <c r="Y216" s="23">
        <f t="shared" si="103"/>
        <v>0</v>
      </c>
      <c r="Z216" s="23"/>
      <c r="AA216" s="32">
        <f t="shared" si="103"/>
        <v>276177</v>
      </c>
      <c r="AB216" s="32">
        <f t="shared" si="103"/>
        <v>276177</v>
      </c>
      <c r="AC216" s="32">
        <f t="shared" si="103"/>
        <v>77377</v>
      </c>
      <c r="AD216" s="23">
        <f t="shared" si="103"/>
        <v>198800</v>
      </c>
    </row>
    <row r="217" spans="1:30" ht="16.5">
      <c r="A217" s="8" t="s">
        <v>331</v>
      </c>
      <c r="B217" s="8" t="s">
        <v>332</v>
      </c>
      <c r="C217" s="24">
        <f>SUM(C218)</f>
        <v>0</v>
      </c>
      <c r="D217" s="24">
        <f aca="true" t="shared" si="104" ref="D217:AD217">SUM(D218)</f>
        <v>0</v>
      </c>
      <c r="E217" s="24">
        <f t="shared" si="104"/>
        <v>0</v>
      </c>
      <c r="F217" s="24"/>
      <c r="G217" s="24">
        <f t="shared" si="104"/>
        <v>0</v>
      </c>
      <c r="H217" s="24">
        <f t="shared" si="104"/>
        <v>0</v>
      </c>
      <c r="I217" s="24">
        <f t="shared" si="104"/>
        <v>0</v>
      </c>
      <c r="J217" s="24"/>
      <c r="K217" s="24">
        <f t="shared" si="104"/>
        <v>0</v>
      </c>
      <c r="L217" s="24">
        <f t="shared" si="104"/>
        <v>0</v>
      </c>
      <c r="M217" s="24">
        <f t="shared" si="104"/>
        <v>0</v>
      </c>
      <c r="N217" s="24"/>
      <c r="O217" s="24">
        <f t="shared" si="104"/>
        <v>0</v>
      </c>
      <c r="P217" s="24">
        <f t="shared" si="104"/>
        <v>0</v>
      </c>
      <c r="Q217" s="24">
        <f t="shared" si="104"/>
        <v>0</v>
      </c>
      <c r="R217" s="24"/>
      <c r="S217" s="24">
        <f t="shared" si="104"/>
        <v>0</v>
      </c>
      <c r="T217" s="24">
        <f t="shared" si="104"/>
        <v>0</v>
      </c>
      <c r="U217" s="24">
        <f t="shared" si="104"/>
        <v>0</v>
      </c>
      <c r="V217" s="24"/>
      <c r="W217" s="24">
        <f t="shared" si="104"/>
        <v>0</v>
      </c>
      <c r="X217" s="24">
        <f t="shared" si="104"/>
        <v>0</v>
      </c>
      <c r="Y217" s="24">
        <f t="shared" si="104"/>
        <v>0</v>
      </c>
      <c r="Z217" s="24"/>
      <c r="AA217" s="31">
        <f t="shared" si="104"/>
        <v>0</v>
      </c>
      <c r="AB217" s="31">
        <f t="shared" si="104"/>
        <v>0</v>
      </c>
      <c r="AC217" s="31">
        <f t="shared" si="104"/>
        <v>0</v>
      </c>
      <c r="AD217" s="24">
        <f t="shared" si="104"/>
        <v>0</v>
      </c>
    </row>
    <row r="218" spans="1:30" ht="16.5">
      <c r="A218" s="5" t="s">
        <v>333</v>
      </c>
      <c r="B218" s="5" t="s">
        <v>334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6">
        <f>SUM(C218+G218+K218+O218+S218+W218)</f>
        <v>0</v>
      </c>
      <c r="AB218" s="26">
        <f>SUM(D218+H218+L218+P218+T218+X218)</f>
        <v>0</v>
      </c>
      <c r="AC218" s="26">
        <f>SUM(E218+I218+Q218+U218+M218+Y218)</f>
        <v>0</v>
      </c>
      <c r="AD218" s="25"/>
    </row>
    <row r="219" spans="1:30" ht="16.5">
      <c r="A219" s="8" t="s">
        <v>335</v>
      </c>
      <c r="B219" s="8" t="s">
        <v>336</v>
      </c>
      <c r="C219" s="24">
        <f>SUM(C220+C221+C222)</f>
        <v>130577</v>
      </c>
      <c r="D219" s="24">
        <f aca="true" t="shared" si="105" ref="D219:AD219">SUM(D220+D221+D222)</f>
        <v>130577</v>
      </c>
      <c r="E219" s="24">
        <f t="shared" si="105"/>
        <v>46591</v>
      </c>
      <c r="F219" s="24"/>
      <c r="G219" s="24">
        <f t="shared" si="105"/>
        <v>0</v>
      </c>
      <c r="H219" s="24">
        <f t="shared" si="105"/>
        <v>0</v>
      </c>
      <c r="I219" s="24">
        <f t="shared" si="105"/>
        <v>0</v>
      </c>
      <c r="J219" s="24"/>
      <c r="K219" s="24">
        <f t="shared" si="105"/>
        <v>0</v>
      </c>
      <c r="L219" s="24">
        <f t="shared" si="105"/>
        <v>0</v>
      </c>
      <c r="M219" s="24">
        <f t="shared" si="105"/>
        <v>0</v>
      </c>
      <c r="N219" s="24"/>
      <c r="O219" s="24">
        <f t="shared" si="105"/>
        <v>0</v>
      </c>
      <c r="P219" s="24">
        <f t="shared" si="105"/>
        <v>0</v>
      </c>
      <c r="Q219" s="24">
        <f t="shared" si="105"/>
        <v>0</v>
      </c>
      <c r="R219" s="24"/>
      <c r="S219" s="24">
        <f t="shared" si="105"/>
        <v>0</v>
      </c>
      <c r="T219" s="24">
        <f t="shared" si="105"/>
        <v>0</v>
      </c>
      <c r="U219" s="24">
        <f t="shared" si="105"/>
        <v>0</v>
      </c>
      <c r="V219" s="24"/>
      <c r="W219" s="24">
        <f t="shared" si="105"/>
        <v>0</v>
      </c>
      <c r="X219" s="24">
        <f t="shared" si="105"/>
        <v>0</v>
      </c>
      <c r="Y219" s="24">
        <f t="shared" si="105"/>
        <v>0</v>
      </c>
      <c r="Z219" s="24"/>
      <c r="AA219" s="31">
        <f t="shared" si="105"/>
        <v>130577</v>
      </c>
      <c r="AB219" s="31">
        <f t="shared" si="105"/>
        <v>130577</v>
      </c>
      <c r="AC219" s="31">
        <f t="shared" si="105"/>
        <v>46591</v>
      </c>
      <c r="AD219" s="24">
        <f t="shared" si="105"/>
        <v>83986</v>
      </c>
    </row>
    <row r="220" spans="1:30" ht="16.5">
      <c r="A220" s="5" t="s">
        <v>740</v>
      </c>
      <c r="B220" s="5" t="s">
        <v>741</v>
      </c>
      <c r="C220" s="25">
        <v>53867</v>
      </c>
      <c r="D220" s="25">
        <v>53867</v>
      </c>
      <c r="E220" s="25">
        <f>2104+4208+4208+4229+4242+4259+4271</f>
        <v>27521</v>
      </c>
      <c r="F220" s="25">
        <f>C220-E220</f>
        <v>26346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6">
        <f aca="true" t="shared" si="106" ref="AA220:AB223">SUM(C220+G220+K220+O220+S220+W220)</f>
        <v>53867</v>
      </c>
      <c r="AB220" s="26">
        <f t="shared" si="106"/>
        <v>53867</v>
      </c>
      <c r="AC220" s="26">
        <f>SUM(E220+I220+Q220+U220+M220+Y220)</f>
        <v>27521</v>
      </c>
      <c r="AD220" s="25">
        <f>AA220-AC220</f>
        <v>26346</v>
      </c>
    </row>
    <row r="221" spans="1:30" ht="16.5">
      <c r="A221" s="5" t="s">
        <v>742</v>
      </c>
      <c r="B221" s="5" t="s">
        <v>743</v>
      </c>
      <c r="C221" s="25">
        <v>66000</v>
      </c>
      <c r="D221" s="25">
        <v>66000</v>
      </c>
      <c r="E221" s="25">
        <f>10719+4435+951</f>
        <v>16105</v>
      </c>
      <c r="F221" s="25">
        <f>C221-E221</f>
        <v>49895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6">
        <f t="shared" si="106"/>
        <v>66000</v>
      </c>
      <c r="AB221" s="26">
        <f t="shared" si="106"/>
        <v>66000</v>
      </c>
      <c r="AC221" s="26">
        <f>SUM(E221+I221+Q221+U221+M221+Y221)</f>
        <v>16105</v>
      </c>
      <c r="AD221" s="25">
        <f>AA221-AC221</f>
        <v>49895</v>
      </c>
    </row>
    <row r="222" spans="1:30" ht="16.5">
      <c r="A222" s="5" t="s">
        <v>744</v>
      </c>
      <c r="B222" s="5" t="s">
        <v>683</v>
      </c>
      <c r="C222" s="25">
        <v>10710</v>
      </c>
      <c r="D222" s="25">
        <v>10710</v>
      </c>
      <c r="E222" s="25">
        <f>325+146+354+376+904+761+99</f>
        <v>2965</v>
      </c>
      <c r="F222" s="25">
        <f>C222-E222</f>
        <v>7745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6">
        <f t="shared" si="106"/>
        <v>10710</v>
      </c>
      <c r="AB222" s="26">
        <f t="shared" si="106"/>
        <v>10710</v>
      </c>
      <c r="AC222" s="26">
        <f>SUM(E222+I222+Q222+U222+M222+Y222)</f>
        <v>2965</v>
      </c>
      <c r="AD222" s="25">
        <f>AA222-AC222</f>
        <v>7745</v>
      </c>
    </row>
    <row r="223" spans="1:30" ht="16.5">
      <c r="A223" s="8" t="s">
        <v>337</v>
      </c>
      <c r="B223" s="8" t="s">
        <v>338</v>
      </c>
      <c r="C223" s="33"/>
      <c r="D223" s="33"/>
      <c r="E223" s="33">
        <v>0</v>
      </c>
      <c r="F223" s="33">
        <f>C223-E223</f>
        <v>0</v>
      </c>
      <c r="G223" s="33">
        <v>14400</v>
      </c>
      <c r="H223" s="33">
        <v>14400</v>
      </c>
      <c r="I223" s="33">
        <f>596+66+44+5+277+31+266+30+4132+333+37+590+66</f>
        <v>6473</v>
      </c>
      <c r="J223" s="33">
        <f>G223-I223</f>
        <v>7927</v>
      </c>
      <c r="K223" s="33">
        <v>60000</v>
      </c>
      <c r="L223" s="33">
        <v>60000</v>
      </c>
      <c r="M223" s="33">
        <f>400+44+900+100+4200+467+50+6+150+17+180+20+360+40+360+40+646+72+50+6+250+28+250+28+250+28+460+51+150+17+200+22+459+51+130+14+126+14+72+8+1500+167+827+92+450+50+2800+311+588+65+300+33+350+39+450+50+120+13+56+500+56+500+61+550+550+61+1408+1650</f>
        <v>24313</v>
      </c>
      <c r="N223" s="33">
        <f>K223-M223</f>
        <v>35687</v>
      </c>
      <c r="O223" s="33">
        <v>31200</v>
      </c>
      <c r="P223" s="33">
        <v>31200</v>
      </c>
      <c r="Q223" s="33"/>
      <c r="R223" s="33"/>
      <c r="S223" s="33">
        <v>10000</v>
      </c>
      <c r="T223" s="33">
        <v>10000</v>
      </c>
      <c r="U223" s="33"/>
      <c r="V223" s="33">
        <f>S223-U223</f>
        <v>10000</v>
      </c>
      <c r="W223" s="33">
        <v>30000</v>
      </c>
      <c r="X223" s="33">
        <v>30000</v>
      </c>
      <c r="Y223" s="33"/>
      <c r="Z223" s="33">
        <f>W223-Y223</f>
        <v>30000</v>
      </c>
      <c r="AA223" s="26">
        <f t="shared" si="106"/>
        <v>145600</v>
      </c>
      <c r="AB223" s="26">
        <f t="shared" si="106"/>
        <v>145600</v>
      </c>
      <c r="AC223" s="26">
        <f>SUM(E223+I223+Q223+U223+M223+Y223)</f>
        <v>30786</v>
      </c>
      <c r="AD223" s="25">
        <f>AA223-AC223</f>
        <v>114814</v>
      </c>
    </row>
    <row r="224" spans="1:30" ht="16.5">
      <c r="A224" s="6" t="s">
        <v>339</v>
      </c>
      <c r="B224" s="6" t="s">
        <v>340</v>
      </c>
      <c r="C224" s="22">
        <f>SUM(C225+C228+C232+C237+C255+C265+C274+C279+C292+C300+C306+C311)</f>
        <v>502300</v>
      </c>
      <c r="D224" s="22">
        <f aca="true" t="shared" si="107" ref="D224:AD224">SUM(D225+D228+D232+D237+D255+D265+D274+D279+D292+D300+D306+D311)</f>
        <v>502300</v>
      </c>
      <c r="E224" s="22">
        <f t="shared" si="107"/>
        <v>243199</v>
      </c>
      <c r="F224" s="22"/>
      <c r="G224" s="22">
        <f t="shared" si="107"/>
        <v>249500</v>
      </c>
      <c r="H224" s="22">
        <f t="shared" si="107"/>
        <v>249500</v>
      </c>
      <c r="I224" s="22">
        <f t="shared" si="107"/>
        <v>72334</v>
      </c>
      <c r="J224" s="22"/>
      <c r="K224" s="22">
        <f t="shared" si="107"/>
        <v>143600</v>
      </c>
      <c r="L224" s="22">
        <f t="shared" si="107"/>
        <v>143600</v>
      </c>
      <c r="M224" s="22">
        <f t="shared" si="107"/>
        <v>148632</v>
      </c>
      <c r="N224" s="22"/>
      <c r="O224" s="22">
        <f t="shared" si="107"/>
        <v>23000</v>
      </c>
      <c r="P224" s="22">
        <f t="shared" si="107"/>
        <v>23000</v>
      </c>
      <c r="Q224" s="22">
        <f t="shared" si="107"/>
        <v>1982</v>
      </c>
      <c r="R224" s="22"/>
      <c r="S224" s="22">
        <f t="shared" si="107"/>
        <v>3000</v>
      </c>
      <c r="T224" s="22">
        <f t="shared" si="107"/>
        <v>3000</v>
      </c>
      <c r="U224" s="22">
        <f t="shared" si="107"/>
        <v>0</v>
      </c>
      <c r="V224" s="22"/>
      <c r="W224" s="22">
        <f t="shared" si="107"/>
        <v>5000</v>
      </c>
      <c r="X224" s="22">
        <f t="shared" si="107"/>
        <v>5000</v>
      </c>
      <c r="Y224" s="22">
        <f t="shared" si="107"/>
        <v>0</v>
      </c>
      <c r="Z224" s="22"/>
      <c r="AA224" s="34">
        <f t="shared" si="107"/>
        <v>926400</v>
      </c>
      <c r="AB224" s="34">
        <f t="shared" si="107"/>
        <v>926400</v>
      </c>
      <c r="AC224" s="34">
        <f t="shared" si="107"/>
        <v>466147</v>
      </c>
      <c r="AD224" s="22">
        <f t="shared" si="107"/>
        <v>460253</v>
      </c>
    </row>
    <row r="225" spans="1:30" ht="16.5">
      <c r="A225" s="7" t="s">
        <v>341</v>
      </c>
      <c r="B225" s="7" t="s">
        <v>342</v>
      </c>
      <c r="C225" s="23">
        <f>SUM(C226+C227)</f>
        <v>5000</v>
      </c>
      <c r="D225" s="23">
        <f aca="true" t="shared" si="108" ref="D225:AD225">SUM(D226+D227)</f>
        <v>5000</v>
      </c>
      <c r="E225" s="23">
        <f t="shared" si="108"/>
        <v>464</v>
      </c>
      <c r="F225" s="23"/>
      <c r="G225" s="23">
        <f t="shared" si="108"/>
        <v>2500</v>
      </c>
      <c r="H225" s="23">
        <f t="shared" si="108"/>
        <v>2500</v>
      </c>
      <c r="I225" s="23">
        <f t="shared" si="108"/>
        <v>2126</v>
      </c>
      <c r="J225" s="23"/>
      <c r="K225" s="23">
        <f t="shared" si="108"/>
        <v>34600</v>
      </c>
      <c r="L225" s="23">
        <f t="shared" si="108"/>
        <v>34600</v>
      </c>
      <c r="M225" s="23">
        <f t="shared" si="108"/>
        <v>38321</v>
      </c>
      <c r="N225" s="23"/>
      <c r="O225" s="23">
        <f t="shared" si="108"/>
        <v>12000</v>
      </c>
      <c r="P225" s="23">
        <f t="shared" si="108"/>
        <v>12000</v>
      </c>
      <c r="Q225" s="23">
        <f t="shared" si="108"/>
        <v>0</v>
      </c>
      <c r="R225" s="23"/>
      <c r="S225" s="23">
        <f t="shared" si="108"/>
        <v>2000</v>
      </c>
      <c r="T225" s="23">
        <f t="shared" si="108"/>
        <v>2000</v>
      </c>
      <c r="U225" s="23">
        <f t="shared" si="108"/>
        <v>0</v>
      </c>
      <c r="V225" s="23"/>
      <c r="W225" s="23">
        <f t="shared" si="108"/>
        <v>3000</v>
      </c>
      <c r="X225" s="23">
        <f t="shared" si="108"/>
        <v>3000</v>
      </c>
      <c r="Y225" s="23">
        <f t="shared" si="108"/>
        <v>0</v>
      </c>
      <c r="Z225" s="23"/>
      <c r="AA225" s="32">
        <f t="shared" si="108"/>
        <v>59100</v>
      </c>
      <c r="AB225" s="32">
        <f t="shared" si="108"/>
        <v>59100</v>
      </c>
      <c r="AC225" s="32">
        <f t="shared" si="108"/>
        <v>40911</v>
      </c>
      <c r="AD225" s="23">
        <f t="shared" si="108"/>
        <v>18189</v>
      </c>
    </row>
    <row r="226" spans="1:30" ht="16.5">
      <c r="A226" s="8" t="s">
        <v>343</v>
      </c>
      <c r="B226" s="8" t="s">
        <v>344</v>
      </c>
      <c r="C226" s="33">
        <v>1000</v>
      </c>
      <c r="D226" s="33">
        <v>1000</v>
      </c>
      <c r="E226" s="33">
        <f>31+144+289</f>
        <v>464</v>
      </c>
      <c r="F226" s="33">
        <f>C226-E226</f>
        <v>536</v>
      </c>
      <c r="G226" s="33">
        <v>2500</v>
      </c>
      <c r="H226" s="33">
        <v>2500</v>
      </c>
      <c r="I226" s="33">
        <f>1200+720+72+45+89</f>
        <v>2126</v>
      </c>
      <c r="J226" s="33">
        <f>G226-I226</f>
        <v>374</v>
      </c>
      <c r="K226" s="33">
        <v>34600</v>
      </c>
      <c r="L226" s="33">
        <v>34600</v>
      </c>
      <c r="M226" s="33">
        <f>18644+2+93+36+479+3330+1315+402+1450+800+1785+1330+714+484+630+345+141+25+41+43+481+714+196+110+640+2103+1265+723</f>
        <v>38321</v>
      </c>
      <c r="N226" s="33">
        <f>K226-M226</f>
        <v>-3721</v>
      </c>
      <c r="O226" s="33">
        <v>12000</v>
      </c>
      <c r="P226" s="33">
        <v>12000</v>
      </c>
      <c r="Q226" s="33"/>
      <c r="R226" s="33">
        <f>O226-Q226</f>
        <v>12000</v>
      </c>
      <c r="S226" s="33">
        <v>2000</v>
      </c>
      <c r="T226" s="33">
        <v>2000</v>
      </c>
      <c r="U226" s="33"/>
      <c r="V226" s="33">
        <f>S226-U226</f>
        <v>2000</v>
      </c>
      <c r="W226" s="33">
        <v>3000</v>
      </c>
      <c r="X226" s="33">
        <v>3000</v>
      </c>
      <c r="Y226" s="33"/>
      <c r="Z226" s="33">
        <f>W226-Y226</f>
        <v>3000</v>
      </c>
      <c r="AA226" s="26">
        <f>SUM(C226+G226+K226+O226+S226+W226)</f>
        <v>55100</v>
      </c>
      <c r="AB226" s="26">
        <f>SUM(D226+H226+L226+P226+T226+X226)</f>
        <v>55100</v>
      </c>
      <c r="AC226" s="26">
        <f>SUM(E226+I226+Q226+U226+M226+Y226)</f>
        <v>40911</v>
      </c>
      <c r="AD226" s="33">
        <f>AA226-AC226</f>
        <v>14189</v>
      </c>
    </row>
    <row r="227" spans="1:30" ht="16.5">
      <c r="A227" s="8" t="s">
        <v>345</v>
      </c>
      <c r="B227" s="8" t="s">
        <v>346</v>
      </c>
      <c r="C227" s="33">
        <v>4000</v>
      </c>
      <c r="D227" s="33">
        <v>4000</v>
      </c>
      <c r="E227" s="33"/>
      <c r="F227" s="33">
        <f>C227-E227</f>
        <v>4000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26">
        <f>SUM(C227+G227+K227+O227+S227+W227)</f>
        <v>4000</v>
      </c>
      <c r="AB227" s="26">
        <f>SUM(D227+H227+L227+P227+T227+X227)</f>
        <v>4000</v>
      </c>
      <c r="AC227" s="26">
        <f>SUM(E227+I227+Q227+U227+M227+Y227)</f>
        <v>0</v>
      </c>
      <c r="AD227" s="33">
        <f>AA227-AC227</f>
        <v>4000</v>
      </c>
    </row>
    <row r="228" spans="1:30" ht="16.5">
      <c r="A228" s="7" t="s">
        <v>347</v>
      </c>
      <c r="B228" s="7" t="s">
        <v>348</v>
      </c>
      <c r="C228" s="23">
        <f>SUM(C229+C230+C231)</f>
        <v>17000</v>
      </c>
      <c r="D228" s="23">
        <f aca="true" t="shared" si="109" ref="D228:AD228">SUM(D229+D230+D231)</f>
        <v>17000</v>
      </c>
      <c r="E228" s="23">
        <f t="shared" si="109"/>
        <v>7922</v>
      </c>
      <c r="F228" s="23"/>
      <c r="G228" s="23">
        <f t="shared" si="109"/>
        <v>0</v>
      </c>
      <c r="H228" s="23">
        <f t="shared" si="109"/>
        <v>0</v>
      </c>
      <c r="I228" s="23">
        <f t="shared" si="109"/>
        <v>0</v>
      </c>
      <c r="J228" s="23"/>
      <c r="K228" s="23">
        <f t="shared" si="109"/>
        <v>0</v>
      </c>
      <c r="L228" s="23">
        <f t="shared" si="109"/>
        <v>0</v>
      </c>
      <c r="M228" s="23">
        <f t="shared" si="109"/>
        <v>0</v>
      </c>
      <c r="N228" s="23"/>
      <c r="O228" s="23">
        <f t="shared" si="109"/>
        <v>6000</v>
      </c>
      <c r="P228" s="23">
        <f t="shared" si="109"/>
        <v>6000</v>
      </c>
      <c r="Q228" s="23">
        <f t="shared" si="109"/>
        <v>0</v>
      </c>
      <c r="R228" s="23"/>
      <c r="S228" s="23">
        <f t="shared" si="109"/>
        <v>0</v>
      </c>
      <c r="T228" s="23">
        <f t="shared" si="109"/>
        <v>0</v>
      </c>
      <c r="U228" s="23">
        <f t="shared" si="109"/>
        <v>0</v>
      </c>
      <c r="V228" s="23"/>
      <c r="W228" s="23">
        <f t="shared" si="109"/>
        <v>0</v>
      </c>
      <c r="X228" s="23">
        <f t="shared" si="109"/>
        <v>0</v>
      </c>
      <c r="Y228" s="23">
        <f t="shared" si="109"/>
        <v>0</v>
      </c>
      <c r="Z228" s="23"/>
      <c r="AA228" s="32">
        <f t="shared" si="109"/>
        <v>23000</v>
      </c>
      <c r="AB228" s="32">
        <f t="shared" si="109"/>
        <v>23000</v>
      </c>
      <c r="AC228" s="32">
        <f t="shared" si="109"/>
        <v>7922</v>
      </c>
      <c r="AD228" s="23">
        <f t="shared" si="109"/>
        <v>15078</v>
      </c>
    </row>
    <row r="229" spans="1:30" ht="16.5">
      <c r="A229" s="8" t="s">
        <v>349</v>
      </c>
      <c r="B229" s="8" t="s">
        <v>350</v>
      </c>
      <c r="C229" s="33">
        <v>2500</v>
      </c>
      <c r="D229" s="33">
        <v>2500</v>
      </c>
      <c r="E229" s="33">
        <f>996</f>
        <v>996</v>
      </c>
      <c r="F229" s="33">
        <f>C229-E229</f>
        <v>1504</v>
      </c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26">
        <f aca="true" t="shared" si="110" ref="AA229:AB231">SUM(C229+G229+K229+O229+S229+W229)</f>
        <v>2500</v>
      </c>
      <c r="AB229" s="26">
        <f t="shared" si="110"/>
        <v>2500</v>
      </c>
      <c r="AC229" s="26">
        <f>SUM(E229+I229+Q229+U229+M229+Y229)</f>
        <v>996</v>
      </c>
      <c r="AD229" s="33">
        <f>AA229-AC229</f>
        <v>1504</v>
      </c>
    </row>
    <row r="230" spans="1:30" ht="16.5">
      <c r="A230" s="8" t="s">
        <v>351</v>
      </c>
      <c r="B230" s="8" t="s">
        <v>352</v>
      </c>
      <c r="C230" s="33">
        <v>12000</v>
      </c>
      <c r="D230" s="33">
        <v>12000</v>
      </c>
      <c r="E230" s="33">
        <f>190+1411+3041</f>
        <v>4642</v>
      </c>
      <c r="F230" s="33">
        <f>C230-E230</f>
        <v>7358</v>
      </c>
      <c r="G230" s="33"/>
      <c r="H230" s="33"/>
      <c r="I230" s="33"/>
      <c r="J230" s="33"/>
      <c r="K230" s="33"/>
      <c r="L230" s="33"/>
      <c r="M230" s="33"/>
      <c r="N230" s="33"/>
      <c r="O230" s="33">
        <v>3000</v>
      </c>
      <c r="P230" s="33">
        <v>3000</v>
      </c>
      <c r="Q230" s="33"/>
      <c r="R230" s="33">
        <f>O230-Q230</f>
        <v>3000</v>
      </c>
      <c r="S230" s="33"/>
      <c r="T230" s="33"/>
      <c r="U230" s="33"/>
      <c r="V230" s="33"/>
      <c r="W230" s="33"/>
      <c r="X230" s="33"/>
      <c r="Y230" s="33"/>
      <c r="Z230" s="33"/>
      <c r="AA230" s="26">
        <f t="shared" si="110"/>
        <v>15000</v>
      </c>
      <c r="AB230" s="26">
        <f t="shared" si="110"/>
        <v>15000</v>
      </c>
      <c r="AC230" s="26">
        <f>SUM(E230+I230+Q230+U230+M230+Y230)</f>
        <v>4642</v>
      </c>
      <c r="AD230" s="33">
        <f>AA230-AC230</f>
        <v>10358</v>
      </c>
    </row>
    <row r="231" spans="1:30" ht="16.5">
      <c r="A231" s="8" t="s">
        <v>353</v>
      </c>
      <c r="B231" s="8" t="s">
        <v>354</v>
      </c>
      <c r="C231" s="33">
        <v>2500</v>
      </c>
      <c r="D231" s="33">
        <v>2500</v>
      </c>
      <c r="E231" s="33">
        <f>1250+849+185</f>
        <v>2284</v>
      </c>
      <c r="F231" s="33">
        <f>C231-E231</f>
        <v>216</v>
      </c>
      <c r="G231" s="33"/>
      <c r="H231" s="33"/>
      <c r="I231" s="33"/>
      <c r="J231" s="33"/>
      <c r="K231" s="33"/>
      <c r="L231" s="33"/>
      <c r="M231" s="33"/>
      <c r="N231" s="33"/>
      <c r="O231" s="33">
        <v>3000</v>
      </c>
      <c r="P231" s="33">
        <v>3000</v>
      </c>
      <c r="Q231" s="33"/>
      <c r="R231" s="33">
        <f>O231-Q231</f>
        <v>3000</v>
      </c>
      <c r="S231" s="33"/>
      <c r="T231" s="33"/>
      <c r="U231" s="33"/>
      <c r="V231" s="33"/>
      <c r="W231" s="33"/>
      <c r="X231" s="33"/>
      <c r="Y231" s="33"/>
      <c r="Z231" s="33"/>
      <c r="AA231" s="26">
        <f t="shared" si="110"/>
        <v>5500</v>
      </c>
      <c r="AB231" s="26">
        <f t="shared" si="110"/>
        <v>5500</v>
      </c>
      <c r="AC231" s="26">
        <f>SUM(E231+I231+Q231+U231+M231+Y231)</f>
        <v>2284</v>
      </c>
      <c r="AD231" s="33">
        <f>AA231-AC231</f>
        <v>3216</v>
      </c>
    </row>
    <row r="232" spans="1:30" ht="16.5">
      <c r="A232" s="7" t="s">
        <v>355</v>
      </c>
      <c r="B232" s="7" t="s">
        <v>356</v>
      </c>
      <c r="C232" s="23">
        <f>SUM(C233+C234+C235+C236)</f>
        <v>59000</v>
      </c>
      <c r="D232" s="23">
        <f aca="true" t="shared" si="111" ref="D232:AD232">SUM(D233+D234+D235+D236)</f>
        <v>59000</v>
      </c>
      <c r="E232" s="23">
        <f t="shared" si="111"/>
        <v>27090</v>
      </c>
      <c r="F232" s="23"/>
      <c r="G232" s="23">
        <f t="shared" si="111"/>
        <v>80500</v>
      </c>
      <c r="H232" s="23">
        <f t="shared" si="111"/>
        <v>80500</v>
      </c>
      <c r="I232" s="23">
        <f t="shared" si="111"/>
        <v>12182</v>
      </c>
      <c r="J232" s="23"/>
      <c r="K232" s="23">
        <f t="shared" si="111"/>
        <v>1500</v>
      </c>
      <c r="L232" s="23">
        <f t="shared" si="111"/>
        <v>1500</v>
      </c>
      <c r="M232" s="23">
        <f t="shared" si="111"/>
        <v>0</v>
      </c>
      <c r="N232" s="23"/>
      <c r="O232" s="23">
        <f t="shared" si="111"/>
        <v>2500</v>
      </c>
      <c r="P232" s="23">
        <f t="shared" si="111"/>
        <v>2500</v>
      </c>
      <c r="Q232" s="23">
        <f t="shared" si="111"/>
        <v>0</v>
      </c>
      <c r="R232" s="23"/>
      <c r="S232" s="23">
        <f t="shared" si="111"/>
        <v>1000</v>
      </c>
      <c r="T232" s="23">
        <f t="shared" si="111"/>
        <v>1000</v>
      </c>
      <c r="U232" s="23">
        <f t="shared" si="111"/>
        <v>0</v>
      </c>
      <c r="V232" s="23"/>
      <c r="W232" s="23">
        <f t="shared" si="111"/>
        <v>2000</v>
      </c>
      <c r="X232" s="23">
        <f t="shared" si="111"/>
        <v>2000</v>
      </c>
      <c r="Y232" s="23">
        <f t="shared" si="111"/>
        <v>0</v>
      </c>
      <c r="Z232" s="23"/>
      <c r="AA232" s="32">
        <f t="shared" si="111"/>
        <v>146500</v>
      </c>
      <c r="AB232" s="32">
        <f t="shared" si="111"/>
        <v>146500</v>
      </c>
      <c r="AC232" s="32">
        <f t="shared" si="111"/>
        <v>39272</v>
      </c>
      <c r="AD232" s="23">
        <f t="shared" si="111"/>
        <v>107228</v>
      </c>
    </row>
    <row r="233" spans="1:30" ht="16.5">
      <c r="A233" s="8" t="s">
        <v>357</v>
      </c>
      <c r="B233" s="8" t="s">
        <v>358</v>
      </c>
      <c r="C233" s="33">
        <v>59000</v>
      </c>
      <c r="D233" s="33">
        <v>59000</v>
      </c>
      <c r="E233" s="33">
        <f>8500+40+10000+3550+5000</f>
        <v>27090</v>
      </c>
      <c r="F233" s="33">
        <f>C233-E233</f>
        <v>31910</v>
      </c>
      <c r="G233" s="33">
        <v>2000</v>
      </c>
      <c r="H233" s="33">
        <v>2000</v>
      </c>
      <c r="I233" s="33"/>
      <c r="J233" s="33">
        <f>G233-I233</f>
        <v>2000</v>
      </c>
      <c r="K233" s="33">
        <v>1500</v>
      </c>
      <c r="L233" s="33">
        <v>1500</v>
      </c>
      <c r="M233" s="33"/>
      <c r="N233" s="33">
        <f>K233-M233</f>
        <v>1500</v>
      </c>
      <c r="O233" s="33">
        <v>2500</v>
      </c>
      <c r="P233" s="33">
        <v>2500</v>
      </c>
      <c r="Q233" s="33"/>
      <c r="R233" s="33">
        <f>O233-Q233</f>
        <v>2500</v>
      </c>
      <c r="S233" s="33">
        <v>1000</v>
      </c>
      <c r="T233" s="33">
        <v>1000</v>
      </c>
      <c r="U233" s="33"/>
      <c r="V233" s="33">
        <f>S233-U233</f>
        <v>1000</v>
      </c>
      <c r="W233" s="33">
        <v>2000</v>
      </c>
      <c r="X233" s="33">
        <v>2000</v>
      </c>
      <c r="Y233" s="33"/>
      <c r="Z233" s="33">
        <f>W233-Y233</f>
        <v>2000</v>
      </c>
      <c r="AA233" s="26">
        <f aca="true" t="shared" si="112" ref="AA233:AB236">SUM(C233+G233+K233+O233+S233+W233)</f>
        <v>68000</v>
      </c>
      <c r="AB233" s="26">
        <f t="shared" si="112"/>
        <v>68000</v>
      </c>
      <c r="AC233" s="26">
        <f>SUM(E233+I233+Q233+U233+M233+Y233)</f>
        <v>27090</v>
      </c>
      <c r="AD233" s="33">
        <f>AA233-AC233</f>
        <v>40910</v>
      </c>
    </row>
    <row r="234" spans="1:30" ht="16.5">
      <c r="A234" s="8" t="s">
        <v>359</v>
      </c>
      <c r="B234" s="8" t="s">
        <v>360</v>
      </c>
      <c r="C234" s="33"/>
      <c r="D234" s="33"/>
      <c r="E234" s="33">
        <v>0</v>
      </c>
      <c r="F234" s="33">
        <f>C234-E234</f>
        <v>0</v>
      </c>
      <c r="G234" s="33">
        <v>78000</v>
      </c>
      <c r="H234" s="33">
        <v>78000</v>
      </c>
      <c r="I234" s="33">
        <f>3921+8261</f>
        <v>12182</v>
      </c>
      <c r="J234" s="33">
        <f>G234-I234</f>
        <v>65818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26">
        <f t="shared" si="112"/>
        <v>78000</v>
      </c>
      <c r="AB234" s="26">
        <f t="shared" si="112"/>
        <v>78000</v>
      </c>
      <c r="AC234" s="26">
        <f>SUM(E234+I234+Q234+U234+M234+Y234)</f>
        <v>12182</v>
      </c>
      <c r="AD234" s="33">
        <f>AA234-AC234</f>
        <v>65818</v>
      </c>
    </row>
    <row r="235" spans="1:30" ht="16.5">
      <c r="A235" s="8" t="s">
        <v>361</v>
      </c>
      <c r="B235" s="8" t="s">
        <v>362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26">
        <f t="shared" si="112"/>
        <v>0</v>
      </c>
      <c r="AB235" s="26">
        <f t="shared" si="112"/>
        <v>0</v>
      </c>
      <c r="AC235" s="26">
        <f>SUM(E235+I235+Q235+U235+M235+Y235)</f>
        <v>0</v>
      </c>
      <c r="AD235" s="33">
        <f>AA235-AC235</f>
        <v>0</v>
      </c>
    </row>
    <row r="236" spans="1:30" ht="16.5">
      <c r="A236" s="8" t="s">
        <v>363</v>
      </c>
      <c r="B236" s="8" t="s">
        <v>364</v>
      </c>
      <c r="C236" s="33"/>
      <c r="D236" s="33"/>
      <c r="E236" s="33"/>
      <c r="F236" s="33"/>
      <c r="G236" s="33">
        <v>500</v>
      </c>
      <c r="H236" s="33">
        <v>500</v>
      </c>
      <c r="I236" s="33"/>
      <c r="J236" s="33">
        <f>G236-I236</f>
        <v>500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26">
        <f t="shared" si="112"/>
        <v>500</v>
      </c>
      <c r="AB236" s="26">
        <f t="shared" si="112"/>
        <v>500</v>
      </c>
      <c r="AC236" s="26">
        <f>SUM(E236+I236+Q236+U236+M236+Y236)</f>
        <v>0</v>
      </c>
      <c r="AD236" s="33">
        <f>AA236-AC236</f>
        <v>500</v>
      </c>
    </row>
    <row r="237" spans="1:30" ht="16.5">
      <c r="A237" s="7" t="s">
        <v>365</v>
      </c>
      <c r="B237" s="7" t="s">
        <v>366</v>
      </c>
      <c r="C237" s="23">
        <f>SUM(C238+C239+C240+C241+C242+C243+C244+C245+C246+C247+C248+C249+C250+C251+C252+C253+C254)</f>
        <v>100600</v>
      </c>
      <c r="D237" s="23">
        <f aca="true" t="shared" si="113" ref="D237:AD237">SUM(D238+D239+D240+D241+D242+D243+D244+D245+D246+D247+D248+D249+D250+D251+D252+D253+D254)</f>
        <v>100600</v>
      </c>
      <c r="E237" s="23">
        <f t="shared" si="113"/>
        <v>46497</v>
      </c>
      <c r="F237" s="23"/>
      <c r="G237" s="23">
        <f t="shared" si="113"/>
        <v>26000</v>
      </c>
      <c r="H237" s="23">
        <f t="shared" si="113"/>
        <v>26000</v>
      </c>
      <c r="I237" s="23">
        <f t="shared" si="113"/>
        <v>6044</v>
      </c>
      <c r="J237" s="23"/>
      <c r="K237" s="23">
        <f t="shared" si="113"/>
        <v>2000</v>
      </c>
      <c r="L237" s="23">
        <f t="shared" si="113"/>
        <v>2000</v>
      </c>
      <c r="M237" s="23">
        <f t="shared" si="113"/>
        <v>994</v>
      </c>
      <c r="N237" s="23"/>
      <c r="O237" s="23">
        <f t="shared" si="113"/>
        <v>2500</v>
      </c>
      <c r="P237" s="23">
        <f t="shared" si="113"/>
        <v>2500</v>
      </c>
      <c r="Q237" s="23">
        <f t="shared" si="113"/>
        <v>82</v>
      </c>
      <c r="R237" s="23"/>
      <c r="S237" s="23">
        <f t="shared" si="113"/>
        <v>0</v>
      </c>
      <c r="T237" s="23">
        <f t="shared" si="113"/>
        <v>0</v>
      </c>
      <c r="U237" s="23">
        <f t="shared" si="113"/>
        <v>0</v>
      </c>
      <c r="V237" s="23"/>
      <c r="W237" s="23">
        <f t="shared" si="113"/>
        <v>0</v>
      </c>
      <c r="X237" s="23">
        <f t="shared" si="113"/>
        <v>0</v>
      </c>
      <c r="Y237" s="23">
        <f t="shared" si="113"/>
        <v>0</v>
      </c>
      <c r="Z237" s="23"/>
      <c r="AA237" s="32">
        <f t="shared" si="113"/>
        <v>131100</v>
      </c>
      <c r="AB237" s="32">
        <f t="shared" si="113"/>
        <v>131100</v>
      </c>
      <c r="AC237" s="32">
        <f t="shared" si="113"/>
        <v>53617</v>
      </c>
      <c r="AD237" s="23">
        <f t="shared" si="113"/>
        <v>77483</v>
      </c>
    </row>
    <row r="238" spans="1:30" ht="16.5">
      <c r="A238" s="8" t="s">
        <v>367</v>
      </c>
      <c r="B238" s="8" t="s">
        <v>368</v>
      </c>
      <c r="C238" s="33">
        <v>7000</v>
      </c>
      <c r="D238" s="33">
        <v>7000</v>
      </c>
      <c r="E238" s="33">
        <f>541+198+838+39+80</f>
        <v>1696</v>
      </c>
      <c r="F238" s="33">
        <f>C238-E238</f>
        <v>5304</v>
      </c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26">
        <f aca="true" t="shared" si="114" ref="AA238:AA254">SUM(C238+G238+K238+O238+S238+W238)</f>
        <v>7000</v>
      </c>
      <c r="AB238" s="26">
        <f aca="true" t="shared" si="115" ref="AB238:AB254">SUM(D238+H238+L238+P238+T238+X238)</f>
        <v>7000</v>
      </c>
      <c r="AC238" s="26">
        <f aca="true" t="shared" si="116" ref="AC238:AC254">SUM(E238+I238+Q238+U238+M238+Y238)</f>
        <v>1696</v>
      </c>
      <c r="AD238" s="33">
        <f>AA238-AC238</f>
        <v>5304</v>
      </c>
    </row>
    <row r="239" spans="1:30" ht="16.5">
      <c r="A239" s="8" t="s">
        <v>369</v>
      </c>
      <c r="B239" s="8" t="s">
        <v>370</v>
      </c>
      <c r="C239" s="33">
        <v>500</v>
      </c>
      <c r="D239" s="33">
        <v>500</v>
      </c>
      <c r="E239" s="33"/>
      <c r="F239" s="33">
        <f>C239-E239</f>
        <v>500</v>
      </c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26">
        <f t="shared" si="114"/>
        <v>500</v>
      </c>
      <c r="AB239" s="26">
        <f t="shared" si="115"/>
        <v>500</v>
      </c>
      <c r="AC239" s="26">
        <f t="shared" si="116"/>
        <v>0</v>
      </c>
      <c r="AD239" s="33">
        <f aca="true" t="shared" si="117" ref="AD239:AD254">AA239-AC239</f>
        <v>500</v>
      </c>
    </row>
    <row r="240" spans="1:30" ht="16.5">
      <c r="A240" s="8" t="s">
        <v>371</v>
      </c>
      <c r="B240" s="8" t="s">
        <v>372</v>
      </c>
      <c r="C240" s="33"/>
      <c r="D240" s="33"/>
      <c r="E240" s="33"/>
      <c r="F240" s="33"/>
      <c r="G240" s="33">
        <v>12000</v>
      </c>
      <c r="H240" s="33">
        <v>12000</v>
      </c>
      <c r="I240" s="33">
        <f>2634+2058</f>
        <v>4692</v>
      </c>
      <c r="J240" s="33">
        <f>G240-I240</f>
        <v>7308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26">
        <f t="shared" si="114"/>
        <v>12000</v>
      </c>
      <c r="AB240" s="26">
        <f t="shared" si="115"/>
        <v>12000</v>
      </c>
      <c r="AC240" s="26">
        <f t="shared" si="116"/>
        <v>4692</v>
      </c>
      <c r="AD240" s="33">
        <f t="shared" si="117"/>
        <v>7308</v>
      </c>
    </row>
    <row r="241" spans="1:30" ht="16.5">
      <c r="A241" s="8" t="s">
        <v>373</v>
      </c>
      <c r="B241" s="8" t="s">
        <v>374</v>
      </c>
      <c r="C241" s="33"/>
      <c r="D241" s="33"/>
      <c r="E241" s="33">
        <v>0</v>
      </c>
      <c r="F241" s="33">
        <f>C241-E241</f>
        <v>0</v>
      </c>
      <c r="G241" s="33"/>
      <c r="H241" s="33"/>
      <c r="I241" s="33"/>
      <c r="J241" s="33"/>
      <c r="K241" s="33"/>
      <c r="L241" s="33"/>
      <c r="M241" s="33"/>
      <c r="N241" s="33"/>
      <c r="O241" s="33">
        <v>2500</v>
      </c>
      <c r="P241" s="33">
        <v>2500</v>
      </c>
      <c r="Q241" s="33">
        <f>82</f>
        <v>82</v>
      </c>
      <c r="R241" s="33">
        <f>O241-Q241</f>
        <v>2418</v>
      </c>
      <c r="S241" s="33"/>
      <c r="T241" s="33"/>
      <c r="U241" s="33"/>
      <c r="V241" s="33"/>
      <c r="W241" s="33"/>
      <c r="X241" s="33"/>
      <c r="Y241" s="33"/>
      <c r="Z241" s="33"/>
      <c r="AA241" s="26">
        <f t="shared" si="114"/>
        <v>2500</v>
      </c>
      <c r="AB241" s="26">
        <f t="shared" si="115"/>
        <v>2500</v>
      </c>
      <c r="AC241" s="26">
        <f t="shared" si="116"/>
        <v>82</v>
      </c>
      <c r="AD241" s="33">
        <f t="shared" si="117"/>
        <v>2418</v>
      </c>
    </row>
    <row r="242" spans="1:30" ht="16.5">
      <c r="A242" s="8" t="s">
        <v>375</v>
      </c>
      <c r="B242" s="8" t="s">
        <v>376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26">
        <f t="shared" si="114"/>
        <v>0</v>
      </c>
      <c r="AB242" s="26">
        <f t="shared" si="115"/>
        <v>0</v>
      </c>
      <c r="AC242" s="26">
        <f t="shared" si="116"/>
        <v>0</v>
      </c>
      <c r="AD242" s="33">
        <f t="shared" si="117"/>
        <v>0</v>
      </c>
    </row>
    <row r="243" spans="1:30" ht="16.5">
      <c r="A243" s="8" t="s">
        <v>377</v>
      </c>
      <c r="B243" s="8" t="s">
        <v>378</v>
      </c>
      <c r="C243" s="33">
        <v>600</v>
      </c>
      <c r="D243" s="33">
        <v>600</v>
      </c>
      <c r="E243" s="33"/>
      <c r="F243" s="33">
        <f aca="true" t="shared" si="118" ref="F243:F250">C243-E243</f>
        <v>600</v>
      </c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26">
        <f t="shared" si="114"/>
        <v>600</v>
      </c>
      <c r="AB243" s="26">
        <f t="shared" si="115"/>
        <v>600</v>
      </c>
      <c r="AC243" s="26">
        <f t="shared" si="116"/>
        <v>0</v>
      </c>
      <c r="AD243" s="33">
        <f t="shared" si="117"/>
        <v>600</v>
      </c>
    </row>
    <row r="244" spans="1:30" ht="16.5">
      <c r="A244" s="8" t="s">
        <v>379</v>
      </c>
      <c r="B244" s="8" t="s">
        <v>380</v>
      </c>
      <c r="C244" s="33">
        <v>17000</v>
      </c>
      <c r="D244" s="33">
        <v>17000</v>
      </c>
      <c r="E244" s="33">
        <f>3778+647+1232</f>
        <v>5657</v>
      </c>
      <c r="F244" s="33">
        <f t="shared" si="118"/>
        <v>11343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26">
        <f t="shared" si="114"/>
        <v>17000</v>
      </c>
      <c r="AB244" s="26">
        <f t="shared" si="115"/>
        <v>17000</v>
      </c>
      <c r="AC244" s="26">
        <f t="shared" si="116"/>
        <v>5657</v>
      </c>
      <c r="AD244" s="33">
        <f t="shared" si="117"/>
        <v>11343</v>
      </c>
    </row>
    <row r="245" spans="1:30" ht="16.5">
      <c r="A245" s="8" t="s">
        <v>381</v>
      </c>
      <c r="B245" s="8" t="s">
        <v>382</v>
      </c>
      <c r="C245" s="33">
        <v>1000</v>
      </c>
      <c r="D245" s="33">
        <v>1000</v>
      </c>
      <c r="E245" s="33"/>
      <c r="F245" s="33">
        <f t="shared" si="118"/>
        <v>1000</v>
      </c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26">
        <f t="shared" si="114"/>
        <v>1000</v>
      </c>
      <c r="AB245" s="26">
        <f t="shared" si="115"/>
        <v>1000</v>
      </c>
      <c r="AC245" s="26">
        <f t="shared" si="116"/>
        <v>0</v>
      </c>
      <c r="AD245" s="33">
        <f t="shared" si="117"/>
        <v>1000</v>
      </c>
    </row>
    <row r="246" spans="1:30" ht="16.5">
      <c r="A246" s="8" t="s">
        <v>383</v>
      </c>
      <c r="B246" s="8" t="s">
        <v>384</v>
      </c>
      <c r="C246" s="33">
        <v>9000</v>
      </c>
      <c r="D246" s="33">
        <v>9000</v>
      </c>
      <c r="E246" s="33">
        <f>851+738</f>
        <v>1589</v>
      </c>
      <c r="F246" s="33">
        <f t="shared" si="118"/>
        <v>7411</v>
      </c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26">
        <f t="shared" si="114"/>
        <v>9000</v>
      </c>
      <c r="AB246" s="26">
        <f t="shared" si="115"/>
        <v>9000</v>
      </c>
      <c r="AC246" s="26">
        <f t="shared" si="116"/>
        <v>1589</v>
      </c>
      <c r="AD246" s="33">
        <f t="shared" si="117"/>
        <v>7411</v>
      </c>
    </row>
    <row r="247" spans="1:30" ht="16.5">
      <c r="A247" s="8" t="s">
        <v>385</v>
      </c>
      <c r="B247" s="8" t="s">
        <v>386</v>
      </c>
      <c r="C247" s="33">
        <v>10000</v>
      </c>
      <c r="D247" s="33">
        <v>10000</v>
      </c>
      <c r="E247" s="33">
        <f>231+249+887+2213</f>
        <v>3580</v>
      </c>
      <c r="F247" s="33">
        <f t="shared" si="118"/>
        <v>6420</v>
      </c>
      <c r="G247" s="33"/>
      <c r="H247" s="33"/>
      <c r="I247" s="33">
        <v>0</v>
      </c>
      <c r="J247" s="33">
        <f>G247-I247</f>
        <v>0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26">
        <f t="shared" si="114"/>
        <v>10000</v>
      </c>
      <c r="AB247" s="26">
        <f t="shared" si="115"/>
        <v>10000</v>
      </c>
      <c r="AC247" s="26">
        <f t="shared" si="116"/>
        <v>3580</v>
      </c>
      <c r="AD247" s="33">
        <f t="shared" si="117"/>
        <v>6420</v>
      </c>
    </row>
    <row r="248" spans="1:30" ht="16.5">
      <c r="A248" s="8" t="s">
        <v>387</v>
      </c>
      <c r="B248" s="8" t="s">
        <v>388</v>
      </c>
      <c r="C248" s="33">
        <v>12000</v>
      </c>
      <c r="D248" s="33">
        <v>12000</v>
      </c>
      <c r="E248" s="33">
        <f>4878+309+48+424+881+1089</f>
        <v>7629</v>
      </c>
      <c r="F248" s="33">
        <f t="shared" si="118"/>
        <v>4371</v>
      </c>
      <c r="G248" s="33"/>
      <c r="H248" s="33"/>
      <c r="I248" s="33">
        <f>0</f>
        <v>0</v>
      </c>
      <c r="J248" s="33">
        <f>G248-I248</f>
        <v>0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26">
        <f t="shared" si="114"/>
        <v>12000</v>
      </c>
      <c r="AB248" s="26">
        <f t="shared" si="115"/>
        <v>12000</v>
      </c>
      <c r="AC248" s="26">
        <f t="shared" si="116"/>
        <v>7629</v>
      </c>
      <c r="AD248" s="33">
        <f t="shared" si="117"/>
        <v>4371</v>
      </c>
    </row>
    <row r="249" spans="1:30" ht="16.5">
      <c r="A249" s="8" t="s">
        <v>389</v>
      </c>
      <c r="B249" s="8" t="s">
        <v>390</v>
      </c>
      <c r="C249" s="33">
        <v>15000</v>
      </c>
      <c r="D249" s="33">
        <v>15000</v>
      </c>
      <c r="E249" s="33">
        <f>5605+71+1518+993+120+248+790+1453+72</f>
        <v>10870</v>
      </c>
      <c r="F249" s="33">
        <f t="shared" si="118"/>
        <v>4130</v>
      </c>
      <c r="G249" s="33">
        <v>8000</v>
      </c>
      <c r="H249" s="33">
        <v>8000</v>
      </c>
      <c r="I249" s="33">
        <f>302</f>
        <v>302</v>
      </c>
      <c r="J249" s="33">
        <f>G249-I249</f>
        <v>7698</v>
      </c>
      <c r="K249" s="33">
        <v>2000</v>
      </c>
      <c r="L249" s="33">
        <v>2000</v>
      </c>
      <c r="M249" s="33">
        <f>53+941</f>
        <v>994</v>
      </c>
      <c r="N249" s="33">
        <f>K249-M249</f>
        <v>1006</v>
      </c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26">
        <f t="shared" si="114"/>
        <v>25000</v>
      </c>
      <c r="AB249" s="26">
        <f t="shared" si="115"/>
        <v>25000</v>
      </c>
      <c r="AC249" s="26">
        <f t="shared" si="116"/>
        <v>12166</v>
      </c>
      <c r="AD249" s="33">
        <f t="shared" si="117"/>
        <v>12834</v>
      </c>
    </row>
    <row r="250" spans="1:30" ht="16.5">
      <c r="A250" s="8" t="s">
        <v>391</v>
      </c>
      <c r="B250" s="8" t="s">
        <v>392</v>
      </c>
      <c r="C250" s="33">
        <v>500</v>
      </c>
      <c r="D250" s="33">
        <v>500</v>
      </c>
      <c r="E250" s="33"/>
      <c r="F250" s="33">
        <f t="shared" si="118"/>
        <v>500</v>
      </c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26">
        <f t="shared" si="114"/>
        <v>500</v>
      </c>
      <c r="AB250" s="26">
        <f t="shared" si="115"/>
        <v>500</v>
      </c>
      <c r="AC250" s="26">
        <f t="shared" si="116"/>
        <v>0</v>
      </c>
      <c r="AD250" s="33">
        <f t="shared" si="117"/>
        <v>500</v>
      </c>
    </row>
    <row r="251" spans="1:30" ht="16.5">
      <c r="A251" s="8" t="s">
        <v>393</v>
      </c>
      <c r="B251" s="8" t="s">
        <v>394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26">
        <f t="shared" si="114"/>
        <v>0</v>
      </c>
      <c r="AB251" s="26">
        <f t="shared" si="115"/>
        <v>0</v>
      </c>
      <c r="AC251" s="26">
        <f t="shared" si="116"/>
        <v>0</v>
      </c>
      <c r="AD251" s="33">
        <f t="shared" si="117"/>
        <v>0</v>
      </c>
    </row>
    <row r="252" spans="1:30" ht="16.5">
      <c r="A252" s="8" t="s">
        <v>395</v>
      </c>
      <c r="B252" s="8" t="s">
        <v>396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26">
        <f t="shared" si="114"/>
        <v>0</v>
      </c>
      <c r="AB252" s="26">
        <f t="shared" si="115"/>
        <v>0</v>
      </c>
      <c r="AC252" s="26">
        <f t="shared" si="116"/>
        <v>0</v>
      </c>
      <c r="AD252" s="33">
        <f t="shared" si="117"/>
        <v>0</v>
      </c>
    </row>
    <row r="253" spans="1:30" ht="16.5">
      <c r="A253" s="8" t="s">
        <v>397</v>
      </c>
      <c r="B253" s="8" t="s">
        <v>398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26">
        <f t="shared" si="114"/>
        <v>0</v>
      </c>
      <c r="AB253" s="26">
        <f t="shared" si="115"/>
        <v>0</v>
      </c>
      <c r="AC253" s="26">
        <f t="shared" si="116"/>
        <v>0</v>
      </c>
      <c r="AD253" s="33">
        <f t="shared" si="117"/>
        <v>0</v>
      </c>
    </row>
    <row r="254" spans="1:30" ht="16.5">
      <c r="A254" s="8" t="s">
        <v>399</v>
      </c>
      <c r="B254" s="8" t="s">
        <v>400</v>
      </c>
      <c r="C254" s="33">
        <v>28000</v>
      </c>
      <c r="D254" s="33">
        <v>28000</v>
      </c>
      <c r="E254" s="33">
        <f>11051+3594+785+46</f>
        <v>15476</v>
      </c>
      <c r="F254" s="33">
        <f>C254-E254</f>
        <v>12524</v>
      </c>
      <c r="G254" s="33">
        <v>6000</v>
      </c>
      <c r="H254" s="33">
        <v>6000</v>
      </c>
      <c r="I254" s="33">
        <f>1050</f>
        <v>1050</v>
      </c>
      <c r="J254" s="33">
        <f>G254-I254</f>
        <v>4950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26">
        <f t="shared" si="114"/>
        <v>34000</v>
      </c>
      <c r="AB254" s="26">
        <f t="shared" si="115"/>
        <v>34000</v>
      </c>
      <c r="AC254" s="26">
        <f t="shared" si="116"/>
        <v>16526</v>
      </c>
      <c r="AD254" s="33">
        <f t="shared" si="117"/>
        <v>17474</v>
      </c>
    </row>
    <row r="255" spans="1:30" ht="16.5">
      <c r="A255" s="7" t="s">
        <v>401</v>
      </c>
      <c r="B255" s="7" t="s">
        <v>402</v>
      </c>
      <c r="C255" s="23">
        <f>SUM(C256+C257+C258+C259+C260+C261+C262+C263+C264)</f>
        <v>114600</v>
      </c>
      <c r="D255" s="23">
        <f aca="true" t="shared" si="119" ref="D255:AD255">SUM(D256+D257+D258+D259+D260+D261+D262+D263+D264)</f>
        <v>114600</v>
      </c>
      <c r="E255" s="23">
        <f t="shared" si="119"/>
        <v>65357</v>
      </c>
      <c r="F255" s="23"/>
      <c r="G255" s="23">
        <f t="shared" si="119"/>
        <v>40500</v>
      </c>
      <c r="H255" s="23">
        <f t="shared" si="119"/>
        <v>40500</v>
      </c>
      <c r="I255" s="23">
        <f t="shared" si="119"/>
        <v>5487</v>
      </c>
      <c r="J255" s="23"/>
      <c r="K255" s="23">
        <f t="shared" si="119"/>
        <v>0</v>
      </c>
      <c r="L255" s="23">
        <f t="shared" si="119"/>
        <v>0</v>
      </c>
      <c r="M255" s="23">
        <f t="shared" si="119"/>
        <v>0</v>
      </c>
      <c r="N255" s="23"/>
      <c r="O255" s="23">
        <f t="shared" si="119"/>
        <v>0</v>
      </c>
      <c r="P255" s="23">
        <f t="shared" si="119"/>
        <v>0</v>
      </c>
      <c r="Q255" s="23">
        <f t="shared" si="119"/>
        <v>0</v>
      </c>
      <c r="R255" s="23"/>
      <c r="S255" s="23">
        <f t="shared" si="119"/>
        <v>0</v>
      </c>
      <c r="T255" s="23">
        <f t="shared" si="119"/>
        <v>0</v>
      </c>
      <c r="U255" s="23">
        <f t="shared" si="119"/>
        <v>0</v>
      </c>
      <c r="V255" s="23"/>
      <c r="W255" s="23">
        <f t="shared" si="119"/>
        <v>0</v>
      </c>
      <c r="X255" s="23">
        <f t="shared" si="119"/>
        <v>0</v>
      </c>
      <c r="Y255" s="23">
        <f t="shared" si="119"/>
        <v>0</v>
      </c>
      <c r="Z255" s="23"/>
      <c r="AA255" s="32">
        <f t="shared" si="119"/>
        <v>155100</v>
      </c>
      <c r="AB255" s="32">
        <f t="shared" si="119"/>
        <v>155100</v>
      </c>
      <c r="AC255" s="32">
        <f t="shared" si="119"/>
        <v>70844</v>
      </c>
      <c r="AD255" s="23">
        <f t="shared" si="119"/>
        <v>84256</v>
      </c>
    </row>
    <row r="256" spans="1:30" ht="16.5">
      <c r="A256" s="8" t="s">
        <v>403</v>
      </c>
      <c r="B256" s="8" t="s">
        <v>404</v>
      </c>
      <c r="C256" s="33">
        <v>6000</v>
      </c>
      <c r="D256" s="33">
        <v>6000</v>
      </c>
      <c r="E256" s="33">
        <f>260+217+78+202+34</f>
        <v>791</v>
      </c>
      <c r="F256" s="33">
        <f aca="true" t="shared" si="120" ref="F256:F262">C256-E256</f>
        <v>5209</v>
      </c>
      <c r="G256" s="33">
        <v>12000</v>
      </c>
      <c r="H256" s="33">
        <v>12000</v>
      </c>
      <c r="I256" s="33">
        <f>450+1866+547+461</f>
        <v>3324</v>
      </c>
      <c r="J256" s="33">
        <f>G256-I256</f>
        <v>8676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26">
        <f aca="true" t="shared" si="121" ref="AA256:AA264">SUM(C256+G256+K256+O256+S256+W256)</f>
        <v>18000</v>
      </c>
      <c r="AB256" s="26">
        <f aca="true" t="shared" si="122" ref="AB256:AB264">SUM(D256+H256+L256+P256+T256+X256)</f>
        <v>18000</v>
      </c>
      <c r="AC256" s="26">
        <f aca="true" t="shared" si="123" ref="AC256:AC264">SUM(E256+I256+Q256+U256+M256+Y256)</f>
        <v>4115</v>
      </c>
      <c r="AD256" s="33">
        <f>AA256-AC256</f>
        <v>13885</v>
      </c>
    </row>
    <row r="257" spans="1:30" ht="16.5">
      <c r="A257" s="8" t="s">
        <v>405</v>
      </c>
      <c r="B257" s="8" t="s">
        <v>406</v>
      </c>
      <c r="C257" s="33">
        <v>9000</v>
      </c>
      <c r="D257" s="33">
        <v>9000</v>
      </c>
      <c r="E257" s="33">
        <f>62+72+23+57+48+35</f>
        <v>297</v>
      </c>
      <c r="F257" s="33">
        <f t="shared" si="120"/>
        <v>8703</v>
      </c>
      <c r="G257" s="33">
        <v>28500</v>
      </c>
      <c r="H257" s="33">
        <v>28500</v>
      </c>
      <c r="I257" s="33">
        <f>75+2024+64</f>
        <v>2163</v>
      </c>
      <c r="J257" s="33">
        <f>G257-I257</f>
        <v>26337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26">
        <f t="shared" si="121"/>
        <v>37500</v>
      </c>
      <c r="AB257" s="26">
        <f t="shared" si="122"/>
        <v>37500</v>
      </c>
      <c r="AC257" s="26">
        <f t="shared" si="123"/>
        <v>2460</v>
      </c>
      <c r="AD257" s="33">
        <f aca="true" t="shared" si="124" ref="AD257:AD264">AA257-AC257</f>
        <v>35040</v>
      </c>
    </row>
    <row r="258" spans="1:30" ht="16.5">
      <c r="A258" s="8" t="s">
        <v>407</v>
      </c>
      <c r="B258" s="8" t="s">
        <v>408</v>
      </c>
      <c r="C258" s="33">
        <v>500</v>
      </c>
      <c r="D258" s="33">
        <v>500</v>
      </c>
      <c r="E258" s="33">
        <f>70+59</f>
        <v>129</v>
      </c>
      <c r="F258" s="33">
        <f t="shared" si="120"/>
        <v>371</v>
      </c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26">
        <f t="shared" si="121"/>
        <v>500</v>
      </c>
      <c r="AB258" s="26">
        <f t="shared" si="122"/>
        <v>500</v>
      </c>
      <c r="AC258" s="26">
        <f t="shared" si="123"/>
        <v>129</v>
      </c>
      <c r="AD258" s="33">
        <f t="shared" si="124"/>
        <v>371</v>
      </c>
    </row>
    <row r="259" spans="1:30" ht="16.5">
      <c r="A259" s="8" t="s">
        <v>409</v>
      </c>
      <c r="B259" s="8" t="s">
        <v>410</v>
      </c>
      <c r="C259" s="33">
        <v>2000</v>
      </c>
      <c r="D259" s="33">
        <v>2000</v>
      </c>
      <c r="E259" s="33">
        <f>178+88+34+75</f>
        <v>375</v>
      </c>
      <c r="F259" s="33">
        <f t="shared" si="120"/>
        <v>1625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26">
        <f t="shared" si="121"/>
        <v>2000</v>
      </c>
      <c r="AB259" s="26">
        <f t="shared" si="122"/>
        <v>2000</v>
      </c>
      <c r="AC259" s="26">
        <f t="shared" si="123"/>
        <v>375</v>
      </c>
      <c r="AD259" s="33">
        <f t="shared" si="124"/>
        <v>1625</v>
      </c>
    </row>
    <row r="260" spans="1:30" ht="16.5">
      <c r="A260" s="8" t="s">
        <v>411</v>
      </c>
      <c r="B260" s="8" t="s">
        <v>412</v>
      </c>
      <c r="C260" s="33">
        <v>40800</v>
      </c>
      <c r="D260" s="33">
        <v>40800</v>
      </c>
      <c r="E260" s="33">
        <f>3418+5427+3725+1973+5449+2046+1738+1744+2039</f>
        <v>27559</v>
      </c>
      <c r="F260" s="33">
        <f t="shared" si="120"/>
        <v>13241</v>
      </c>
      <c r="G260" s="33"/>
      <c r="H260" s="33"/>
      <c r="I260" s="33">
        <f>0</f>
        <v>0</v>
      </c>
      <c r="J260" s="33">
        <f>G260-I260</f>
        <v>0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26">
        <f t="shared" si="121"/>
        <v>40800</v>
      </c>
      <c r="AB260" s="26">
        <f t="shared" si="122"/>
        <v>40800</v>
      </c>
      <c r="AC260" s="26">
        <f t="shared" si="123"/>
        <v>27559</v>
      </c>
      <c r="AD260" s="33">
        <f t="shared" si="124"/>
        <v>13241</v>
      </c>
    </row>
    <row r="261" spans="1:30" ht="16.5">
      <c r="A261" s="8" t="s">
        <v>413</v>
      </c>
      <c r="B261" s="8" t="s">
        <v>414</v>
      </c>
      <c r="C261" s="33">
        <v>15000</v>
      </c>
      <c r="D261" s="33">
        <v>15000</v>
      </c>
      <c r="E261" s="33">
        <f>399+555+1127+581+686</f>
        <v>3348</v>
      </c>
      <c r="F261" s="33">
        <f t="shared" si="120"/>
        <v>11652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26">
        <f t="shared" si="121"/>
        <v>15000</v>
      </c>
      <c r="AB261" s="26">
        <f t="shared" si="122"/>
        <v>15000</v>
      </c>
      <c r="AC261" s="26">
        <f t="shared" si="123"/>
        <v>3348</v>
      </c>
      <c r="AD261" s="33">
        <f t="shared" si="124"/>
        <v>11652</v>
      </c>
    </row>
    <row r="262" spans="1:30" ht="16.5">
      <c r="A262" s="8" t="s">
        <v>415</v>
      </c>
      <c r="B262" s="8" t="s">
        <v>416</v>
      </c>
      <c r="C262" s="33">
        <v>40800</v>
      </c>
      <c r="D262" s="33">
        <v>40800</v>
      </c>
      <c r="E262" s="33">
        <f>3676+5427+6929+2247+6461+8118</f>
        <v>32858</v>
      </c>
      <c r="F262" s="33">
        <f t="shared" si="120"/>
        <v>7942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26">
        <f t="shared" si="121"/>
        <v>40800</v>
      </c>
      <c r="AB262" s="26">
        <f t="shared" si="122"/>
        <v>40800</v>
      </c>
      <c r="AC262" s="26">
        <f t="shared" si="123"/>
        <v>32858</v>
      </c>
      <c r="AD262" s="33">
        <f t="shared" si="124"/>
        <v>7942</v>
      </c>
    </row>
    <row r="263" spans="1:30" ht="16.5">
      <c r="A263" s="8" t="s">
        <v>417</v>
      </c>
      <c r="B263" s="8" t="s">
        <v>418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26">
        <f t="shared" si="121"/>
        <v>0</v>
      </c>
      <c r="AB263" s="26">
        <f t="shared" si="122"/>
        <v>0</v>
      </c>
      <c r="AC263" s="26">
        <f t="shared" si="123"/>
        <v>0</v>
      </c>
      <c r="AD263" s="33">
        <f t="shared" si="124"/>
        <v>0</v>
      </c>
    </row>
    <row r="264" spans="1:30" ht="16.5">
      <c r="A264" s="8" t="s">
        <v>419</v>
      </c>
      <c r="B264" s="8" t="s">
        <v>400</v>
      </c>
      <c r="C264" s="33">
        <v>500</v>
      </c>
      <c r="D264" s="33">
        <v>500</v>
      </c>
      <c r="E264" s="33"/>
      <c r="F264" s="33">
        <f>C264-E264</f>
        <v>500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26">
        <f t="shared" si="121"/>
        <v>500</v>
      </c>
      <c r="AB264" s="26">
        <f t="shared" si="122"/>
        <v>500</v>
      </c>
      <c r="AC264" s="26">
        <f t="shared" si="123"/>
        <v>0</v>
      </c>
      <c r="AD264" s="33">
        <f t="shared" si="124"/>
        <v>500</v>
      </c>
    </row>
    <row r="265" spans="1:30" ht="16.5">
      <c r="A265" s="7" t="s">
        <v>420</v>
      </c>
      <c r="B265" s="7" t="s">
        <v>421</v>
      </c>
      <c r="C265" s="23">
        <f>SUM(C266+C267+C268+C269+C270+C271+C272+C273)</f>
        <v>52000</v>
      </c>
      <c r="D265" s="23">
        <f aca="true" t="shared" si="125" ref="D265:AD265">SUM(D266+D267+D268+D269+D270+D271+D272+D273)</f>
        <v>52000</v>
      </c>
      <c r="E265" s="23">
        <f t="shared" si="125"/>
        <v>5348</v>
      </c>
      <c r="F265" s="23"/>
      <c r="G265" s="23">
        <f t="shared" si="125"/>
        <v>13000</v>
      </c>
      <c r="H265" s="23">
        <f t="shared" si="125"/>
        <v>13000</v>
      </c>
      <c r="I265" s="23">
        <f t="shared" si="125"/>
        <v>450</v>
      </c>
      <c r="J265" s="23"/>
      <c r="K265" s="23">
        <f t="shared" si="125"/>
        <v>0</v>
      </c>
      <c r="L265" s="23">
        <f t="shared" si="125"/>
        <v>0</v>
      </c>
      <c r="M265" s="23">
        <f t="shared" si="125"/>
        <v>0</v>
      </c>
      <c r="N265" s="23"/>
      <c r="O265" s="23">
        <f t="shared" si="125"/>
        <v>0</v>
      </c>
      <c r="P265" s="23">
        <f t="shared" si="125"/>
        <v>0</v>
      </c>
      <c r="Q265" s="23">
        <f t="shared" si="125"/>
        <v>0</v>
      </c>
      <c r="R265" s="23"/>
      <c r="S265" s="23">
        <f t="shared" si="125"/>
        <v>0</v>
      </c>
      <c r="T265" s="23">
        <f t="shared" si="125"/>
        <v>0</v>
      </c>
      <c r="U265" s="23">
        <f t="shared" si="125"/>
        <v>0</v>
      </c>
      <c r="V265" s="23"/>
      <c r="W265" s="23">
        <f t="shared" si="125"/>
        <v>0</v>
      </c>
      <c r="X265" s="23">
        <f t="shared" si="125"/>
        <v>0</v>
      </c>
      <c r="Y265" s="23">
        <f t="shared" si="125"/>
        <v>0</v>
      </c>
      <c r="Z265" s="23"/>
      <c r="AA265" s="32">
        <f t="shared" si="125"/>
        <v>65000</v>
      </c>
      <c r="AB265" s="32">
        <f t="shared" si="125"/>
        <v>65000</v>
      </c>
      <c r="AC265" s="32">
        <f t="shared" si="125"/>
        <v>5798</v>
      </c>
      <c r="AD265" s="23">
        <f t="shared" si="125"/>
        <v>59202</v>
      </c>
    </row>
    <row r="266" spans="1:30" ht="16.5">
      <c r="A266" s="8" t="s">
        <v>422</v>
      </c>
      <c r="B266" s="8" t="s">
        <v>423</v>
      </c>
      <c r="C266" s="33">
        <v>4000</v>
      </c>
      <c r="D266" s="33">
        <v>4000</v>
      </c>
      <c r="E266" s="33"/>
      <c r="F266" s="33">
        <f aca="true" t="shared" si="126" ref="F266:F273">C266-E266</f>
        <v>4000</v>
      </c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26">
        <f aca="true" t="shared" si="127" ref="AA266:AA273">SUM(C266+G266+K266+O266+S266+W266)</f>
        <v>4000</v>
      </c>
      <c r="AB266" s="26">
        <f aca="true" t="shared" si="128" ref="AB266:AB273">SUM(D266+H266+L266+P266+T266+X266)</f>
        <v>4000</v>
      </c>
      <c r="AC266" s="26">
        <f aca="true" t="shared" si="129" ref="AC266:AC273">SUM(E266+I266+Q266+U266+M266+Y266)</f>
        <v>0</v>
      </c>
      <c r="AD266" s="33">
        <f>AA266-AC266</f>
        <v>4000</v>
      </c>
    </row>
    <row r="267" spans="1:30" ht="16.5">
      <c r="A267" s="8" t="s">
        <v>424</v>
      </c>
      <c r="B267" s="8" t="s">
        <v>425</v>
      </c>
      <c r="C267" s="33">
        <v>38000</v>
      </c>
      <c r="D267" s="33">
        <v>38000</v>
      </c>
      <c r="E267" s="33">
        <f>1092+40+282+943+289+92+1325</f>
        <v>4063</v>
      </c>
      <c r="F267" s="33">
        <f t="shared" si="126"/>
        <v>33937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26">
        <f t="shared" si="127"/>
        <v>38000</v>
      </c>
      <c r="AB267" s="26">
        <f t="shared" si="128"/>
        <v>38000</v>
      </c>
      <c r="AC267" s="26">
        <f t="shared" si="129"/>
        <v>4063</v>
      </c>
      <c r="AD267" s="33">
        <f aca="true" t="shared" si="130" ref="AD267:AD273">AA267-AC267</f>
        <v>33937</v>
      </c>
    </row>
    <row r="268" spans="1:30" ht="16.5">
      <c r="A268" s="8" t="s">
        <v>426</v>
      </c>
      <c r="B268" s="8" t="s">
        <v>427</v>
      </c>
      <c r="C268" s="33">
        <v>500</v>
      </c>
      <c r="D268" s="33">
        <v>500</v>
      </c>
      <c r="E268" s="33"/>
      <c r="F268" s="33">
        <f t="shared" si="126"/>
        <v>500</v>
      </c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26">
        <f t="shared" si="127"/>
        <v>500</v>
      </c>
      <c r="AB268" s="26">
        <f t="shared" si="128"/>
        <v>500</v>
      </c>
      <c r="AC268" s="26">
        <f t="shared" si="129"/>
        <v>0</v>
      </c>
      <c r="AD268" s="33">
        <f t="shared" si="130"/>
        <v>500</v>
      </c>
    </row>
    <row r="269" spans="1:30" ht="16.5">
      <c r="A269" s="8" t="s">
        <v>428</v>
      </c>
      <c r="B269" s="8" t="s">
        <v>429</v>
      </c>
      <c r="C269" s="33">
        <v>1000</v>
      </c>
      <c r="D269" s="33">
        <v>1000</v>
      </c>
      <c r="E269" s="33"/>
      <c r="F269" s="33">
        <f t="shared" si="126"/>
        <v>1000</v>
      </c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26">
        <f t="shared" si="127"/>
        <v>1000</v>
      </c>
      <c r="AB269" s="26">
        <f t="shared" si="128"/>
        <v>1000</v>
      </c>
      <c r="AC269" s="26">
        <f t="shared" si="129"/>
        <v>0</v>
      </c>
      <c r="AD269" s="33">
        <f t="shared" si="130"/>
        <v>1000</v>
      </c>
    </row>
    <row r="270" spans="1:30" ht="16.5">
      <c r="A270" s="8" t="s">
        <v>430</v>
      </c>
      <c r="B270" s="8" t="s">
        <v>431</v>
      </c>
      <c r="C270" s="33">
        <v>4000</v>
      </c>
      <c r="D270" s="33">
        <v>4000</v>
      </c>
      <c r="E270" s="33">
        <f>436</f>
        <v>436</v>
      </c>
      <c r="F270" s="33">
        <f t="shared" si="126"/>
        <v>3564</v>
      </c>
      <c r="G270" s="33">
        <v>13000</v>
      </c>
      <c r="H270" s="33">
        <v>13000</v>
      </c>
      <c r="I270" s="33">
        <f>450</f>
        <v>450</v>
      </c>
      <c r="J270" s="33">
        <f>G270-I270</f>
        <v>12550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26">
        <f t="shared" si="127"/>
        <v>17000</v>
      </c>
      <c r="AB270" s="26">
        <f t="shared" si="128"/>
        <v>17000</v>
      </c>
      <c r="AC270" s="26">
        <f t="shared" si="129"/>
        <v>886</v>
      </c>
      <c r="AD270" s="33">
        <f t="shared" si="130"/>
        <v>16114</v>
      </c>
    </row>
    <row r="271" spans="1:30" ht="16.5">
      <c r="A271" s="8" t="s">
        <v>432</v>
      </c>
      <c r="B271" s="8" t="s">
        <v>433</v>
      </c>
      <c r="C271" s="33">
        <v>2500</v>
      </c>
      <c r="D271" s="33">
        <v>2500</v>
      </c>
      <c r="E271" s="33">
        <f>189+471+189</f>
        <v>849</v>
      </c>
      <c r="F271" s="33">
        <f t="shared" si="126"/>
        <v>1651</v>
      </c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26">
        <f t="shared" si="127"/>
        <v>2500</v>
      </c>
      <c r="AB271" s="26">
        <f t="shared" si="128"/>
        <v>2500</v>
      </c>
      <c r="AC271" s="26">
        <f t="shared" si="129"/>
        <v>849</v>
      </c>
      <c r="AD271" s="33">
        <f t="shared" si="130"/>
        <v>1651</v>
      </c>
    </row>
    <row r="272" spans="1:30" ht="16.5">
      <c r="A272" s="8" t="s">
        <v>434</v>
      </c>
      <c r="B272" s="8" t="s">
        <v>435</v>
      </c>
      <c r="C272" s="33">
        <v>1000</v>
      </c>
      <c r="D272" s="33">
        <v>1000</v>
      </c>
      <c r="E272" s="33"/>
      <c r="F272" s="33">
        <f t="shared" si="126"/>
        <v>1000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26">
        <f t="shared" si="127"/>
        <v>1000</v>
      </c>
      <c r="AB272" s="26">
        <f t="shared" si="128"/>
        <v>1000</v>
      </c>
      <c r="AC272" s="26">
        <f t="shared" si="129"/>
        <v>0</v>
      </c>
      <c r="AD272" s="33">
        <f t="shared" si="130"/>
        <v>1000</v>
      </c>
    </row>
    <row r="273" spans="1:30" ht="16.5">
      <c r="A273" s="8" t="s">
        <v>436</v>
      </c>
      <c r="B273" s="8" t="s">
        <v>400</v>
      </c>
      <c r="C273" s="33">
        <v>1000</v>
      </c>
      <c r="D273" s="33">
        <v>1000</v>
      </c>
      <c r="E273" s="33"/>
      <c r="F273" s="33">
        <f t="shared" si="126"/>
        <v>1000</v>
      </c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26">
        <f t="shared" si="127"/>
        <v>1000</v>
      </c>
      <c r="AB273" s="26">
        <f t="shared" si="128"/>
        <v>1000</v>
      </c>
      <c r="AC273" s="26">
        <f t="shared" si="129"/>
        <v>0</v>
      </c>
      <c r="AD273" s="33">
        <f t="shared" si="130"/>
        <v>1000</v>
      </c>
    </row>
    <row r="274" spans="1:30" ht="16.5">
      <c r="A274" s="7" t="s">
        <v>437</v>
      </c>
      <c r="B274" s="7" t="s">
        <v>438</v>
      </c>
      <c r="C274" s="23">
        <f>SUM(C275+C276+C277+C278)</f>
        <v>13000</v>
      </c>
      <c r="D274" s="23">
        <f aca="true" t="shared" si="131" ref="D274:AD274">SUM(D275+D276+D277+D278)</f>
        <v>13000</v>
      </c>
      <c r="E274" s="23">
        <f t="shared" si="131"/>
        <v>23546</v>
      </c>
      <c r="F274" s="23"/>
      <c r="G274" s="23">
        <f t="shared" si="131"/>
        <v>0</v>
      </c>
      <c r="H274" s="23">
        <f t="shared" si="131"/>
        <v>0</v>
      </c>
      <c r="I274" s="23">
        <f t="shared" si="131"/>
        <v>70</v>
      </c>
      <c r="J274" s="23"/>
      <c r="K274" s="23">
        <f t="shared" si="131"/>
        <v>7000</v>
      </c>
      <c r="L274" s="23">
        <f t="shared" si="131"/>
        <v>7000</v>
      </c>
      <c r="M274" s="23">
        <f t="shared" si="131"/>
        <v>3259</v>
      </c>
      <c r="N274" s="23"/>
      <c r="O274" s="23">
        <f t="shared" si="131"/>
        <v>0</v>
      </c>
      <c r="P274" s="23">
        <f t="shared" si="131"/>
        <v>0</v>
      </c>
      <c r="Q274" s="23">
        <f t="shared" si="131"/>
        <v>0</v>
      </c>
      <c r="R274" s="23"/>
      <c r="S274" s="23">
        <f t="shared" si="131"/>
        <v>0</v>
      </c>
      <c r="T274" s="23">
        <f t="shared" si="131"/>
        <v>0</v>
      </c>
      <c r="U274" s="23">
        <f t="shared" si="131"/>
        <v>0</v>
      </c>
      <c r="V274" s="23"/>
      <c r="W274" s="23">
        <f t="shared" si="131"/>
        <v>0</v>
      </c>
      <c r="X274" s="23">
        <f t="shared" si="131"/>
        <v>0</v>
      </c>
      <c r="Y274" s="23">
        <f t="shared" si="131"/>
        <v>0</v>
      </c>
      <c r="Z274" s="23"/>
      <c r="AA274" s="32">
        <f t="shared" si="131"/>
        <v>20000</v>
      </c>
      <c r="AB274" s="32">
        <f t="shared" si="131"/>
        <v>20000</v>
      </c>
      <c r="AC274" s="32">
        <f t="shared" si="131"/>
        <v>26875</v>
      </c>
      <c r="AD274" s="23">
        <f t="shared" si="131"/>
        <v>-6875</v>
      </c>
    </row>
    <row r="275" spans="1:30" ht="16.5">
      <c r="A275" s="8" t="s">
        <v>439</v>
      </c>
      <c r="B275" s="8" t="s">
        <v>440</v>
      </c>
      <c r="C275" s="33">
        <v>5500</v>
      </c>
      <c r="D275" s="33">
        <v>5500</v>
      </c>
      <c r="E275" s="33">
        <f>428+357+1648+516+357+357</f>
        <v>3663</v>
      </c>
      <c r="F275" s="33">
        <f>C275-E275</f>
        <v>1837</v>
      </c>
      <c r="G275" s="33"/>
      <c r="H275" s="33"/>
      <c r="I275" s="33">
        <v>0</v>
      </c>
      <c r="J275" s="33">
        <f>G275-I275</f>
        <v>0</v>
      </c>
      <c r="K275" s="33">
        <v>5000</v>
      </c>
      <c r="L275" s="33">
        <v>5000</v>
      </c>
      <c r="M275" s="33"/>
      <c r="N275" s="33">
        <f>K275-M275</f>
        <v>5000</v>
      </c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26">
        <f aca="true" t="shared" si="132" ref="AA275:AB278">SUM(C275+G275+K275+O275+S275+W275)</f>
        <v>10500</v>
      </c>
      <c r="AB275" s="26">
        <f t="shared" si="132"/>
        <v>10500</v>
      </c>
      <c r="AC275" s="26">
        <f>SUM(E275+I275+Q275+U275+M275+Y275)</f>
        <v>3663</v>
      </c>
      <c r="AD275" s="33">
        <f>AA275-AC275</f>
        <v>6837</v>
      </c>
    </row>
    <row r="276" spans="1:30" ht="16.5">
      <c r="A276" s="8" t="s">
        <v>441</v>
      </c>
      <c r="B276" s="8" t="s">
        <v>442</v>
      </c>
      <c r="C276" s="33">
        <v>5000</v>
      </c>
      <c r="D276" s="33">
        <v>5000</v>
      </c>
      <c r="E276" s="33">
        <f>202+1566</f>
        <v>1768</v>
      </c>
      <c r="F276" s="33">
        <f>C276-E276</f>
        <v>3232</v>
      </c>
      <c r="G276" s="33"/>
      <c r="H276" s="33"/>
      <c r="I276" s="33"/>
      <c r="J276" s="33"/>
      <c r="K276" s="33">
        <v>2000</v>
      </c>
      <c r="L276" s="33">
        <v>2000</v>
      </c>
      <c r="M276" s="33">
        <f>1890</f>
        <v>1890</v>
      </c>
      <c r="N276" s="33">
        <f>K276-M276</f>
        <v>110</v>
      </c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26">
        <f t="shared" si="132"/>
        <v>7000</v>
      </c>
      <c r="AB276" s="26">
        <f t="shared" si="132"/>
        <v>7000</v>
      </c>
      <c r="AC276" s="26">
        <f>SUM(E276+I276+Q276+U276+M276+Y276)</f>
        <v>3658</v>
      </c>
      <c r="AD276" s="33">
        <f>AA276-AC276</f>
        <v>3342</v>
      </c>
    </row>
    <row r="277" spans="1:30" ht="16.5">
      <c r="A277" s="8" t="s">
        <v>443</v>
      </c>
      <c r="B277" s="8" t="s">
        <v>444</v>
      </c>
      <c r="C277" s="33">
        <v>500</v>
      </c>
      <c r="D277" s="33">
        <v>500</v>
      </c>
      <c r="E277" s="33"/>
      <c r="F277" s="33">
        <f>C277-E277</f>
        <v>500</v>
      </c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26">
        <f t="shared" si="132"/>
        <v>500</v>
      </c>
      <c r="AB277" s="26">
        <f t="shared" si="132"/>
        <v>500</v>
      </c>
      <c r="AC277" s="26">
        <f>SUM(E277+I277+Q277+U277+M277+Y277)</f>
        <v>0</v>
      </c>
      <c r="AD277" s="33">
        <f>AA277-AC277</f>
        <v>500</v>
      </c>
    </row>
    <row r="278" spans="1:30" ht="16.5">
      <c r="A278" s="8" t="s">
        <v>445</v>
      </c>
      <c r="B278" s="8" t="s">
        <v>400</v>
      </c>
      <c r="C278" s="33">
        <v>2000</v>
      </c>
      <c r="D278" s="33">
        <v>2000</v>
      </c>
      <c r="E278" s="33">
        <f>9192+8923</f>
        <v>18115</v>
      </c>
      <c r="F278" s="33">
        <f>C278-E278</f>
        <v>-16115</v>
      </c>
      <c r="G278" s="33"/>
      <c r="H278" s="33"/>
      <c r="I278" s="33">
        <f>70</f>
        <v>70</v>
      </c>
      <c r="J278" s="33">
        <f>G278-I278</f>
        <v>-70</v>
      </c>
      <c r="K278" s="33"/>
      <c r="L278" s="33"/>
      <c r="M278" s="33">
        <f>1369</f>
        <v>1369</v>
      </c>
      <c r="N278" s="33">
        <f>K278-M278</f>
        <v>-1369</v>
      </c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26">
        <f t="shared" si="132"/>
        <v>2000</v>
      </c>
      <c r="AB278" s="26">
        <f t="shared" si="132"/>
        <v>2000</v>
      </c>
      <c r="AC278" s="26">
        <f>SUM(E278+I278+Q278+U278+M278+Y278)</f>
        <v>19554</v>
      </c>
      <c r="AD278" s="33">
        <f>AA278-AC278</f>
        <v>-17554</v>
      </c>
    </row>
    <row r="279" spans="1:30" ht="16.5">
      <c r="A279" s="7" t="s">
        <v>446</v>
      </c>
      <c r="B279" s="7" t="s">
        <v>447</v>
      </c>
      <c r="C279" s="23">
        <f>SUM(C280+C281+C282+C283+C284+C285+C286+C287+C288+C289+C290+C291)</f>
        <v>52000</v>
      </c>
      <c r="D279" s="23">
        <f aca="true" t="shared" si="133" ref="D279:AD279">SUM(D280+D281+D282+D283+D284+D285+D286+D287+D288+D289+D290+D291)</f>
        <v>52000</v>
      </c>
      <c r="E279" s="23">
        <f t="shared" si="133"/>
        <v>11769</v>
      </c>
      <c r="F279" s="23"/>
      <c r="G279" s="23">
        <f t="shared" si="133"/>
        <v>87000</v>
      </c>
      <c r="H279" s="23">
        <f t="shared" si="133"/>
        <v>87000</v>
      </c>
      <c r="I279" s="23">
        <f t="shared" si="133"/>
        <v>39325</v>
      </c>
      <c r="J279" s="23"/>
      <c r="K279" s="23">
        <f t="shared" si="133"/>
        <v>92000</v>
      </c>
      <c r="L279" s="23">
        <f t="shared" si="133"/>
        <v>92000</v>
      </c>
      <c r="M279" s="23">
        <f t="shared" si="133"/>
        <v>96691</v>
      </c>
      <c r="N279" s="23"/>
      <c r="O279" s="23">
        <f t="shared" si="133"/>
        <v>0</v>
      </c>
      <c r="P279" s="23">
        <f t="shared" si="133"/>
        <v>0</v>
      </c>
      <c r="Q279" s="23">
        <f t="shared" si="133"/>
        <v>0</v>
      </c>
      <c r="R279" s="23"/>
      <c r="S279" s="23">
        <f t="shared" si="133"/>
        <v>0</v>
      </c>
      <c r="T279" s="23">
        <f t="shared" si="133"/>
        <v>0</v>
      </c>
      <c r="U279" s="23">
        <f t="shared" si="133"/>
        <v>0</v>
      </c>
      <c r="V279" s="23"/>
      <c r="W279" s="23">
        <f t="shared" si="133"/>
        <v>0</v>
      </c>
      <c r="X279" s="23">
        <f t="shared" si="133"/>
        <v>0</v>
      </c>
      <c r="Y279" s="23">
        <f t="shared" si="133"/>
        <v>0</v>
      </c>
      <c r="Z279" s="23"/>
      <c r="AA279" s="32">
        <f t="shared" si="133"/>
        <v>231000</v>
      </c>
      <c r="AB279" s="32">
        <f t="shared" si="133"/>
        <v>231000</v>
      </c>
      <c r="AC279" s="32">
        <f t="shared" si="133"/>
        <v>147785</v>
      </c>
      <c r="AD279" s="23">
        <f t="shared" si="133"/>
        <v>83215</v>
      </c>
    </row>
    <row r="280" spans="1:30" ht="16.5">
      <c r="A280" s="8" t="s">
        <v>448</v>
      </c>
      <c r="B280" s="8" t="s">
        <v>449</v>
      </c>
      <c r="C280" s="33">
        <v>30000</v>
      </c>
      <c r="D280" s="33">
        <v>30000</v>
      </c>
      <c r="E280" s="33">
        <f>1154+136+15+417+3046+714</f>
        <v>5482</v>
      </c>
      <c r="F280" s="33">
        <f>C280-E280</f>
        <v>24518</v>
      </c>
      <c r="G280" s="33"/>
      <c r="H280" s="33"/>
      <c r="I280" s="33">
        <v>0</v>
      </c>
      <c r="J280" s="33">
        <f>G280-I280</f>
        <v>0</v>
      </c>
      <c r="K280" s="33"/>
      <c r="L280" s="33"/>
      <c r="M280" s="33"/>
      <c r="N280" s="33">
        <f>K280-M280</f>
        <v>0</v>
      </c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26">
        <f aca="true" t="shared" si="134" ref="AA280:AA291">SUM(C280+G280+K280+O280+S280+W280)</f>
        <v>30000</v>
      </c>
      <c r="AB280" s="26">
        <f aca="true" t="shared" si="135" ref="AB280:AB291">SUM(D280+H280+L280+P280+T280+X280)</f>
        <v>30000</v>
      </c>
      <c r="AC280" s="26">
        <f aca="true" t="shared" si="136" ref="AC280:AC291">SUM(E280+I280+Q280+U280+M280+Y280)</f>
        <v>5482</v>
      </c>
      <c r="AD280" s="33">
        <f>AA280-AC280</f>
        <v>24518</v>
      </c>
    </row>
    <row r="281" spans="1:30" ht="16.5">
      <c r="A281" s="8" t="s">
        <v>450</v>
      </c>
      <c r="B281" s="8" t="s">
        <v>451</v>
      </c>
      <c r="C281" s="33">
        <v>2000</v>
      </c>
      <c r="D281" s="33">
        <v>2000</v>
      </c>
      <c r="E281" s="33"/>
      <c r="F281" s="33">
        <f>C281-E281</f>
        <v>2000</v>
      </c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26">
        <f t="shared" si="134"/>
        <v>2000</v>
      </c>
      <c r="AB281" s="26">
        <f t="shared" si="135"/>
        <v>2000</v>
      </c>
      <c r="AC281" s="26">
        <f t="shared" si="136"/>
        <v>0</v>
      </c>
      <c r="AD281" s="33">
        <f aca="true" t="shared" si="137" ref="AD281:AD291">AA281-AC281</f>
        <v>2000</v>
      </c>
    </row>
    <row r="282" spans="1:30" ht="16.5">
      <c r="A282" s="8" t="s">
        <v>452</v>
      </c>
      <c r="B282" s="8" t="s">
        <v>453</v>
      </c>
      <c r="C282" s="33"/>
      <c r="D282" s="33"/>
      <c r="E282" s="33"/>
      <c r="F282" s="33"/>
      <c r="G282" s="33">
        <v>72000</v>
      </c>
      <c r="H282" s="33">
        <v>72000</v>
      </c>
      <c r="I282" s="33">
        <f>6134+10014+6386+6386+6386</f>
        <v>35306</v>
      </c>
      <c r="J282" s="33">
        <f>G282-I282</f>
        <v>36694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26">
        <f t="shared" si="134"/>
        <v>72000</v>
      </c>
      <c r="AB282" s="26">
        <f t="shared" si="135"/>
        <v>72000</v>
      </c>
      <c r="AC282" s="26">
        <f t="shared" si="136"/>
        <v>35306</v>
      </c>
      <c r="AD282" s="33">
        <f t="shared" si="137"/>
        <v>36694</v>
      </c>
    </row>
    <row r="283" spans="1:30" ht="16.5">
      <c r="A283" s="8" t="s">
        <v>454</v>
      </c>
      <c r="B283" s="8" t="s">
        <v>455</v>
      </c>
      <c r="C283" s="33"/>
      <c r="D283" s="33"/>
      <c r="E283" s="33"/>
      <c r="F283" s="33"/>
      <c r="G283" s="33">
        <v>15000</v>
      </c>
      <c r="H283" s="33">
        <v>15000</v>
      </c>
      <c r="I283" s="33">
        <f>767+479+509+489+409+689+677</f>
        <v>4019</v>
      </c>
      <c r="J283" s="33">
        <f>G283-I283</f>
        <v>10981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26">
        <f t="shared" si="134"/>
        <v>15000</v>
      </c>
      <c r="AB283" s="26">
        <f t="shared" si="135"/>
        <v>15000</v>
      </c>
      <c r="AC283" s="26">
        <f t="shared" si="136"/>
        <v>4019</v>
      </c>
      <c r="AD283" s="33">
        <f t="shared" si="137"/>
        <v>10981</v>
      </c>
    </row>
    <row r="284" spans="1:30" ht="16.5">
      <c r="A284" s="8" t="s">
        <v>456</v>
      </c>
      <c r="B284" s="8" t="s">
        <v>457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26">
        <f t="shared" si="134"/>
        <v>0</v>
      </c>
      <c r="AB284" s="26">
        <f t="shared" si="135"/>
        <v>0</v>
      </c>
      <c r="AC284" s="26">
        <f t="shared" si="136"/>
        <v>0</v>
      </c>
      <c r="AD284" s="33">
        <f t="shared" si="137"/>
        <v>0</v>
      </c>
    </row>
    <row r="285" spans="1:30" ht="16.5">
      <c r="A285" s="8" t="s">
        <v>458</v>
      </c>
      <c r="B285" s="8" t="s">
        <v>459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26">
        <f t="shared" si="134"/>
        <v>0</v>
      </c>
      <c r="AB285" s="26">
        <f t="shared" si="135"/>
        <v>0</v>
      </c>
      <c r="AC285" s="26">
        <f t="shared" si="136"/>
        <v>0</v>
      </c>
      <c r="AD285" s="33">
        <f t="shared" si="137"/>
        <v>0</v>
      </c>
    </row>
    <row r="286" spans="1:30" ht="16.5">
      <c r="A286" s="8" t="s">
        <v>460</v>
      </c>
      <c r="B286" s="8" t="s">
        <v>461</v>
      </c>
      <c r="C286" s="33">
        <v>18000</v>
      </c>
      <c r="D286" s="33">
        <v>18000</v>
      </c>
      <c r="E286" s="33">
        <f>527+145+2450+193+29+589+141+154</f>
        <v>4228</v>
      </c>
      <c r="F286" s="33">
        <f>C286-E286</f>
        <v>13772</v>
      </c>
      <c r="G286" s="33"/>
      <c r="H286" s="33"/>
      <c r="I286" s="33"/>
      <c r="J286" s="33"/>
      <c r="K286" s="33">
        <v>2000</v>
      </c>
      <c r="L286" s="33">
        <v>2000</v>
      </c>
      <c r="M286" s="33"/>
      <c r="N286" s="33">
        <f>K286-M286</f>
        <v>2000</v>
      </c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26">
        <f t="shared" si="134"/>
        <v>20000</v>
      </c>
      <c r="AB286" s="26">
        <f t="shared" si="135"/>
        <v>20000</v>
      </c>
      <c r="AC286" s="26">
        <f t="shared" si="136"/>
        <v>4228</v>
      </c>
      <c r="AD286" s="33">
        <f t="shared" si="137"/>
        <v>15772</v>
      </c>
    </row>
    <row r="287" spans="1:30" ht="16.5">
      <c r="A287" s="8" t="s">
        <v>462</v>
      </c>
      <c r="B287" s="8" t="s">
        <v>463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26">
        <f t="shared" si="134"/>
        <v>0</v>
      </c>
      <c r="AB287" s="26">
        <f t="shared" si="135"/>
        <v>0</v>
      </c>
      <c r="AC287" s="26">
        <f t="shared" si="136"/>
        <v>0</v>
      </c>
      <c r="AD287" s="33">
        <f t="shared" si="137"/>
        <v>0</v>
      </c>
    </row>
    <row r="288" spans="1:30" ht="16.5">
      <c r="A288" s="8" t="s">
        <v>464</v>
      </c>
      <c r="B288" s="8" t="s">
        <v>465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26">
        <f t="shared" si="134"/>
        <v>0</v>
      </c>
      <c r="AB288" s="26">
        <f t="shared" si="135"/>
        <v>0</v>
      </c>
      <c r="AC288" s="26">
        <f t="shared" si="136"/>
        <v>0</v>
      </c>
      <c r="AD288" s="33">
        <f t="shared" si="137"/>
        <v>0</v>
      </c>
    </row>
    <row r="289" spans="1:30" ht="16.5">
      <c r="A289" s="8" t="s">
        <v>466</v>
      </c>
      <c r="B289" s="8" t="s">
        <v>467</v>
      </c>
      <c r="C289" s="33">
        <v>2000</v>
      </c>
      <c r="D289" s="33">
        <v>2000</v>
      </c>
      <c r="E289" s="33">
        <f>1232</f>
        <v>1232</v>
      </c>
      <c r="F289" s="33">
        <f>C289-E289</f>
        <v>768</v>
      </c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26">
        <f t="shared" si="134"/>
        <v>2000</v>
      </c>
      <c r="AB289" s="26">
        <f t="shared" si="135"/>
        <v>2000</v>
      </c>
      <c r="AC289" s="26">
        <f t="shared" si="136"/>
        <v>1232</v>
      </c>
      <c r="AD289" s="33">
        <f t="shared" si="137"/>
        <v>768</v>
      </c>
    </row>
    <row r="290" spans="1:30" ht="16.5">
      <c r="A290" s="8" t="s">
        <v>468</v>
      </c>
      <c r="B290" s="8" t="s">
        <v>469</v>
      </c>
      <c r="C290" s="33"/>
      <c r="D290" s="33"/>
      <c r="E290" s="33"/>
      <c r="F290" s="33"/>
      <c r="G290" s="33"/>
      <c r="H290" s="33"/>
      <c r="I290" s="33"/>
      <c r="J290" s="33"/>
      <c r="K290" s="33">
        <v>90000</v>
      </c>
      <c r="L290" s="33">
        <v>90000</v>
      </c>
      <c r="M290" s="33">
        <f>73477+14876+7158+500+500</f>
        <v>96511</v>
      </c>
      <c r="N290" s="33">
        <f>K290-M290</f>
        <v>-6511</v>
      </c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26">
        <f t="shared" si="134"/>
        <v>90000</v>
      </c>
      <c r="AB290" s="26">
        <f t="shared" si="135"/>
        <v>90000</v>
      </c>
      <c r="AC290" s="26">
        <f t="shared" si="136"/>
        <v>96511</v>
      </c>
      <c r="AD290" s="33">
        <f t="shared" si="137"/>
        <v>-6511</v>
      </c>
    </row>
    <row r="291" spans="1:30" ht="16.5">
      <c r="A291" s="8" t="s">
        <v>470</v>
      </c>
      <c r="B291" s="8" t="s">
        <v>400</v>
      </c>
      <c r="C291" s="33"/>
      <c r="D291" s="33"/>
      <c r="E291" s="33">
        <f>129+80+163+69+160+41+111+74</f>
        <v>827</v>
      </c>
      <c r="F291" s="33">
        <f>C291-E291</f>
        <v>-827</v>
      </c>
      <c r="G291" s="33"/>
      <c r="H291" s="33"/>
      <c r="I291" s="33"/>
      <c r="J291" s="33"/>
      <c r="K291" s="33"/>
      <c r="L291" s="33"/>
      <c r="M291" s="33">
        <f>180</f>
        <v>180</v>
      </c>
      <c r="N291" s="33">
        <f>K291-M291</f>
        <v>-180</v>
      </c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26">
        <f t="shared" si="134"/>
        <v>0</v>
      </c>
      <c r="AB291" s="26">
        <f t="shared" si="135"/>
        <v>0</v>
      </c>
      <c r="AC291" s="26">
        <f t="shared" si="136"/>
        <v>1007</v>
      </c>
      <c r="AD291" s="33">
        <f t="shared" si="137"/>
        <v>-1007</v>
      </c>
    </row>
    <row r="292" spans="1:30" ht="16.5">
      <c r="A292" s="7" t="s">
        <v>471</v>
      </c>
      <c r="B292" s="7" t="s">
        <v>472</v>
      </c>
      <c r="C292" s="23">
        <f>SUM(C293+C294+C295+C296+C297+C298+C299)</f>
        <v>19000</v>
      </c>
      <c r="D292" s="23">
        <f aca="true" t="shared" si="138" ref="D292:AD292">SUM(D293+D294+D295+D296+D297+D298+D299)</f>
        <v>19000</v>
      </c>
      <c r="E292" s="23">
        <f t="shared" si="138"/>
        <v>520</v>
      </c>
      <c r="F292" s="23"/>
      <c r="G292" s="23">
        <f t="shared" si="138"/>
        <v>0</v>
      </c>
      <c r="H292" s="23">
        <f t="shared" si="138"/>
        <v>0</v>
      </c>
      <c r="I292" s="23">
        <f t="shared" si="138"/>
        <v>6650</v>
      </c>
      <c r="J292" s="23"/>
      <c r="K292" s="23">
        <f t="shared" si="138"/>
        <v>4000</v>
      </c>
      <c r="L292" s="23">
        <f t="shared" si="138"/>
        <v>4000</v>
      </c>
      <c r="M292" s="23">
        <f t="shared" si="138"/>
        <v>9050</v>
      </c>
      <c r="N292" s="23"/>
      <c r="O292" s="23">
        <f t="shared" si="138"/>
        <v>0</v>
      </c>
      <c r="P292" s="23">
        <f t="shared" si="138"/>
        <v>0</v>
      </c>
      <c r="Q292" s="23">
        <f t="shared" si="138"/>
        <v>1900</v>
      </c>
      <c r="R292" s="23"/>
      <c r="S292" s="23">
        <f t="shared" si="138"/>
        <v>0</v>
      </c>
      <c r="T292" s="23">
        <f t="shared" si="138"/>
        <v>0</v>
      </c>
      <c r="U292" s="23">
        <f t="shared" si="138"/>
        <v>0</v>
      </c>
      <c r="V292" s="23"/>
      <c r="W292" s="23">
        <f t="shared" si="138"/>
        <v>0</v>
      </c>
      <c r="X292" s="23">
        <f t="shared" si="138"/>
        <v>0</v>
      </c>
      <c r="Y292" s="23">
        <f t="shared" si="138"/>
        <v>0</v>
      </c>
      <c r="Z292" s="23"/>
      <c r="AA292" s="32">
        <f t="shared" si="138"/>
        <v>23000</v>
      </c>
      <c r="AB292" s="32">
        <f t="shared" si="138"/>
        <v>23000</v>
      </c>
      <c r="AC292" s="32">
        <f t="shared" si="138"/>
        <v>18120</v>
      </c>
      <c r="AD292" s="23">
        <f t="shared" si="138"/>
        <v>4880</v>
      </c>
    </row>
    <row r="293" spans="1:30" ht="16.5">
      <c r="A293" s="8" t="s">
        <v>473</v>
      </c>
      <c r="B293" s="8" t="s">
        <v>474</v>
      </c>
      <c r="C293" s="33">
        <v>1000</v>
      </c>
      <c r="D293" s="33">
        <v>1000</v>
      </c>
      <c r="E293" s="33"/>
      <c r="F293" s="33">
        <f>C293-E293</f>
        <v>1000</v>
      </c>
      <c r="G293" s="33"/>
      <c r="H293" s="33"/>
      <c r="I293" s="33"/>
      <c r="J293" s="33"/>
      <c r="K293" s="33">
        <v>4000</v>
      </c>
      <c r="L293" s="33">
        <v>4000</v>
      </c>
      <c r="M293" s="33"/>
      <c r="N293" s="33">
        <f>K293-M293</f>
        <v>4000</v>
      </c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26">
        <f aca="true" t="shared" si="139" ref="AA293:AA299">SUM(C293+G293+K293+O293+S293+W293)</f>
        <v>5000</v>
      </c>
      <c r="AB293" s="26">
        <f aca="true" t="shared" si="140" ref="AB293:AB299">SUM(D293+H293+L293+P293+T293+X293)</f>
        <v>5000</v>
      </c>
      <c r="AC293" s="26">
        <f aca="true" t="shared" si="141" ref="AC293:AC299">SUM(E293+I293+Q293+U293+M293+Y293)</f>
        <v>0</v>
      </c>
      <c r="AD293" s="33">
        <f>AA293-AC293</f>
        <v>5000</v>
      </c>
    </row>
    <row r="294" spans="1:30" ht="16.5">
      <c r="A294" s="8" t="s">
        <v>475</v>
      </c>
      <c r="B294" s="8" t="s">
        <v>476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26">
        <f t="shared" si="139"/>
        <v>0</v>
      </c>
      <c r="AB294" s="26">
        <f t="shared" si="140"/>
        <v>0</v>
      </c>
      <c r="AC294" s="26">
        <f t="shared" si="141"/>
        <v>0</v>
      </c>
      <c r="AD294" s="33">
        <f aca="true" t="shared" si="142" ref="AD294:AD299">AA294-AC294</f>
        <v>0</v>
      </c>
    </row>
    <row r="295" spans="1:30" ht="16.5">
      <c r="A295" s="8" t="s">
        <v>477</v>
      </c>
      <c r="B295" s="8" t="s">
        <v>478</v>
      </c>
      <c r="C295" s="33"/>
      <c r="D295" s="33"/>
      <c r="E295" s="33"/>
      <c r="F295" s="33"/>
      <c r="G295" s="33"/>
      <c r="H295" s="33"/>
      <c r="I295" s="33">
        <f>1349+5301</f>
        <v>6650</v>
      </c>
      <c r="J295" s="33">
        <f>G295-I295</f>
        <v>-6650</v>
      </c>
      <c r="K295" s="33"/>
      <c r="L295" s="33"/>
      <c r="M295" s="33">
        <f>360+550+950+3500+600+750+2340</f>
        <v>9050</v>
      </c>
      <c r="N295" s="33">
        <f>K295-M295</f>
        <v>-9050</v>
      </c>
      <c r="O295" s="33"/>
      <c r="P295" s="33"/>
      <c r="Q295" s="33">
        <f>1900</f>
        <v>1900</v>
      </c>
      <c r="R295" s="33"/>
      <c r="S295" s="33"/>
      <c r="T295" s="33"/>
      <c r="U295" s="33"/>
      <c r="V295" s="33"/>
      <c r="W295" s="33"/>
      <c r="X295" s="33"/>
      <c r="Y295" s="33"/>
      <c r="Z295" s="33"/>
      <c r="AA295" s="26">
        <f t="shared" si="139"/>
        <v>0</v>
      </c>
      <c r="AB295" s="26">
        <f t="shared" si="140"/>
        <v>0</v>
      </c>
      <c r="AC295" s="26">
        <f t="shared" si="141"/>
        <v>17600</v>
      </c>
      <c r="AD295" s="33">
        <f t="shared" si="142"/>
        <v>-17600</v>
      </c>
    </row>
    <row r="296" spans="1:30" ht="16.5">
      <c r="A296" s="8" t="s">
        <v>479</v>
      </c>
      <c r="B296" s="8" t="s">
        <v>480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26">
        <f t="shared" si="139"/>
        <v>0</v>
      </c>
      <c r="AB296" s="26">
        <f t="shared" si="140"/>
        <v>0</v>
      </c>
      <c r="AC296" s="26">
        <f t="shared" si="141"/>
        <v>0</v>
      </c>
      <c r="AD296" s="33">
        <f t="shared" si="142"/>
        <v>0</v>
      </c>
    </row>
    <row r="297" spans="1:30" ht="16.5">
      <c r="A297" s="8" t="s">
        <v>481</v>
      </c>
      <c r="B297" s="8" t="s">
        <v>482</v>
      </c>
      <c r="C297" s="33">
        <v>12000</v>
      </c>
      <c r="D297" s="33">
        <v>12000</v>
      </c>
      <c r="E297" s="33">
        <f>271</f>
        <v>271</v>
      </c>
      <c r="F297" s="33">
        <f>C297-E297</f>
        <v>11729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26">
        <f t="shared" si="139"/>
        <v>12000</v>
      </c>
      <c r="AB297" s="26">
        <f t="shared" si="140"/>
        <v>12000</v>
      </c>
      <c r="AC297" s="26">
        <f t="shared" si="141"/>
        <v>271</v>
      </c>
      <c r="AD297" s="33">
        <f t="shared" si="142"/>
        <v>11729</v>
      </c>
    </row>
    <row r="298" spans="1:30" ht="16.5">
      <c r="A298" s="8" t="s">
        <v>483</v>
      </c>
      <c r="B298" s="8" t="s">
        <v>484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26">
        <f t="shared" si="139"/>
        <v>0</v>
      </c>
      <c r="AB298" s="26">
        <f t="shared" si="140"/>
        <v>0</v>
      </c>
      <c r="AC298" s="26">
        <f t="shared" si="141"/>
        <v>0</v>
      </c>
      <c r="AD298" s="33">
        <f t="shared" si="142"/>
        <v>0</v>
      </c>
    </row>
    <row r="299" spans="1:30" ht="16.5">
      <c r="A299" s="8" t="s">
        <v>485</v>
      </c>
      <c r="B299" s="8" t="s">
        <v>400</v>
      </c>
      <c r="C299" s="33">
        <v>6000</v>
      </c>
      <c r="D299" s="33">
        <v>6000</v>
      </c>
      <c r="E299" s="33">
        <f>249</f>
        <v>249</v>
      </c>
      <c r="F299" s="33">
        <f>C299-E299</f>
        <v>5751</v>
      </c>
      <c r="G299" s="33"/>
      <c r="H299" s="33"/>
      <c r="I299" s="33"/>
      <c r="J299" s="33"/>
      <c r="K299" s="33"/>
      <c r="L299" s="33"/>
      <c r="M299" s="33">
        <v>0</v>
      </c>
      <c r="N299" s="33">
        <f>K299-M299</f>
        <v>0</v>
      </c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26">
        <f t="shared" si="139"/>
        <v>6000</v>
      </c>
      <c r="AB299" s="26">
        <f t="shared" si="140"/>
        <v>6000</v>
      </c>
      <c r="AC299" s="26">
        <f t="shared" si="141"/>
        <v>249</v>
      </c>
      <c r="AD299" s="33">
        <f t="shared" si="142"/>
        <v>5751</v>
      </c>
    </row>
    <row r="300" spans="1:30" ht="16.5">
      <c r="A300" s="7" t="s">
        <v>486</v>
      </c>
      <c r="B300" s="7" t="s">
        <v>487</v>
      </c>
      <c r="C300" s="23">
        <f>SUM(C301+C302+C303+C304+C305)</f>
        <v>45000</v>
      </c>
      <c r="D300" s="23">
        <f aca="true" t="shared" si="143" ref="D300:AD300">SUM(D301+D302+D303+D304+D305)</f>
        <v>45000</v>
      </c>
      <c r="E300" s="23">
        <f t="shared" si="143"/>
        <v>37622</v>
      </c>
      <c r="F300" s="23"/>
      <c r="G300" s="23">
        <f t="shared" si="143"/>
        <v>0</v>
      </c>
      <c r="H300" s="23">
        <f t="shared" si="143"/>
        <v>0</v>
      </c>
      <c r="I300" s="23">
        <f t="shared" si="143"/>
        <v>0</v>
      </c>
      <c r="J300" s="23"/>
      <c r="K300" s="23">
        <f t="shared" si="143"/>
        <v>0</v>
      </c>
      <c r="L300" s="23">
        <f t="shared" si="143"/>
        <v>0</v>
      </c>
      <c r="M300" s="23">
        <f t="shared" si="143"/>
        <v>0</v>
      </c>
      <c r="N300" s="23"/>
      <c r="O300" s="23">
        <f t="shared" si="143"/>
        <v>0</v>
      </c>
      <c r="P300" s="23">
        <f t="shared" si="143"/>
        <v>0</v>
      </c>
      <c r="Q300" s="23">
        <f t="shared" si="143"/>
        <v>0</v>
      </c>
      <c r="R300" s="23"/>
      <c r="S300" s="23">
        <f t="shared" si="143"/>
        <v>0</v>
      </c>
      <c r="T300" s="23">
        <f t="shared" si="143"/>
        <v>0</v>
      </c>
      <c r="U300" s="23">
        <f t="shared" si="143"/>
        <v>0</v>
      </c>
      <c r="V300" s="23"/>
      <c r="W300" s="23">
        <f t="shared" si="143"/>
        <v>0</v>
      </c>
      <c r="X300" s="23">
        <f t="shared" si="143"/>
        <v>0</v>
      </c>
      <c r="Y300" s="23">
        <f t="shared" si="143"/>
        <v>0</v>
      </c>
      <c r="Z300" s="23"/>
      <c r="AA300" s="32">
        <f t="shared" si="143"/>
        <v>45000</v>
      </c>
      <c r="AB300" s="32">
        <f t="shared" si="143"/>
        <v>45000</v>
      </c>
      <c r="AC300" s="32">
        <f t="shared" si="143"/>
        <v>37622</v>
      </c>
      <c r="AD300" s="23">
        <f t="shared" si="143"/>
        <v>7378</v>
      </c>
    </row>
    <row r="301" spans="1:30" ht="16.5">
      <c r="A301" s="8" t="s">
        <v>488</v>
      </c>
      <c r="B301" s="8" t="s">
        <v>489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26">
        <f aca="true" t="shared" si="144" ref="AA301:AB305">SUM(C301+G301+K301+O301+S301+W301)</f>
        <v>0</v>
      </c>
      <c r="AB301" s="26">
        <f t="shared" si="144"/>
        <v>0</v>
      </c>
      <c r="AC301" s="26">
        <f>SUM(E301+I301+Q301+U301+M301+Y301)</f>
        <v>0</v>
      </c>
      <c r="AD301" s="33">
        <f>AA301-AC301</f>
        <v>0</v>
      </c>
    </row>
    <row r="302" spans="1:30" ht="16.5">
      <c r="A302" s="8" t="s">
        <v>490</v>
      </c>
      <c r="B302" s="8" t="s">
        <v>491</v>
      </c>
      <c r="C302" s="33">
        <v>45000</v>
      </c>
      <c r="D302" s="33">
        <v>45000</v>
      </c>
      <c r="E302" s="33">
        <f>541+36614+227+240</f>
        <v>37622</v>
      </c>
      <c r="F302" s="33">
        <f>C302-E302</f>
        <v>7378</v>
      </c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26">
        <f t="shared" si="144"/>
        <v>45000</v>
      </c>
      <c r="AB302" s="26">
        <f t="shared" si="144"/>
        <v>45000</v>
      </c>
      <c r="AC302" s="26">
        <f>SUM(E302+I302+Q302+U302+M302+Y302)</f>
        <v>37622</v>
      </c>
      <c r="AD302" s="33">
        <f>AA302-AC302</f>
        <v>7378</v>
      </c>
    </row>
    <row r="303" spans="1:30" ht="16.5">
      <c r="A303" s="8" t="s">
        <v>492</v>
      </c>
      <c r="B303" s="8" t="s">
        <v>493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26">
        <f t="shared" si="144"/>
        <v>0</v>
      </c>
      <c r="AB303" s="26">
        <f t="shared" si="144"/>
        <v>0</v>
      </c>
      <c r="AC303" s="26">
        <f>SUM(E303+I303+Q303+U303+M303+Y303)</f>
        <v>0</v>
      </c>
      <c r="AD303" s="33">
        <f>AA303-AC303</f>
        <v>0</v>
      </c>
    </row>
    <row r="304" spans="1:30" ht="16.5">
      <c r="A304" s="8" t="s">
        <v>494</v>
      </c>
      <c r="B304" s="8" t="s">
        <v>495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26">
        <f t="shared" si="144"/>
        <v>0</v>
      </c>
      <c r="AB304" s="26">
        <f t="shared" si="144"/>
        <v>0</v>
      </c>
      <c r="AC304" s="26">
        <f>SUM(E304+I304+Q304+U304+M304+Y304)</f>
        <v>0</v>
      </c>
      <c r="AD304" s="33">
        <f>AA304-AC304</f>
        <v>0</v>
      </c>
    </row>
    <row r="305" spans="1:30" ht="16.5">
      <c r="A305" s="8" t="s">
        <v>496</v>
      </c>
      <c r="B305" s="8" t="s">
        <v>400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26">
        <f t="shared" si="144"/>
        <v>0</v>
      </c>
      <c r="AB305" s="26">
        <f t="shared" si="144"/>
        <v>0</v>
      </c>
      <c r="AC305" s="26">
        <f>SUM(E305+I305+Q305+U305+M305+Y305)</f>
        <v>0</v>
      </c>
      <c r="AD305" s="33">
        <f>AA305-AC305</f>
        <v>0</v>
      </c>
    </row>
    <row r="306" spans="1:30" ht="16.5">
      <c r="A306" s="7" t="s">
        <v>497</v>
      </c>
      <c r="B306" s="7" t="s">
        <v>498</v>
      </c>
      <c r="C306" s="23">
        <f>SUM(C307+C308+C309+C310)</f>
        <v>20100</v>
      </c>
      <c r="D306" s="23">
        <f aca="true" t="shared" si="145" ref="D306:AD306">SUM(D307+D308+D309+D310)</f>
        <v>20100</v>
      </c>
      <c r="E306" s="23">
        <f t="shared" si="145"/>
        <v>16728</v>
      </c>
      <c r="F306" s="23"/>
      <c r="G306" s="23">
        <f t="shared" si="145"/>
        <v>0</v>
      </c>
      <c r="H306" s="23">
        <f t="shared" si="145"/>
        <v>0</v>
      </c>
      <c r="I306" s="23">
        <f t="shared" si="145"/>
        <v>0</v>
      </c>
      <c r="J306" s="23"/>
      <c r="K306" s="23">
        <f t="shared" si="145"/>
        <v>0</v>
      </c>
      <c r="L306" s="23">
        <f t="shared" si="145"/>
        <v>0</v>
      </c>
      <c r="M306" s="23">
        <f t="shared" si="145"/>
        <v>0</v>
      </c>
      <c r="N306" s="23"/>
      <c r="O306" s="23">
        <f t="shared" si="145"/>
        <v>0</v>
      </c>
      <c r="P306" s="23">
        <f t="shared" si="145"/>
        <v>0</v>
      </c>
      <c r="Q306" s="23">
        <f t="shared" si="145"/>
        <v>0</v>
      </c>
      <c r="R306" s="23"/>
      <c r="S306" s="23">
        <f t="shared" si="145"/>
        <v>0</v>
      </c>
      <c r="T306" s="23">
        <f t="shared" si="145"/>
        <v>0</v>
      </c>
      <c r="U306" s="23">
        <f t="shared" si="145"/>
        <v>0</v>
      </c>
      <c r="V306" s="23"/>
      <c r="W306" s="23">
        <f t="shared" si="145"/>
        <v>0</v>
      </c>
      <c r="X306" s="23">
        <f t="shared" si="145"/>
        <v>0</v>
      </c>
      <c r="Y306" s="23">
        <f t="shared" si="145"/>
        <v>0</v>
      </c>
      <c r="Z306" s="23"/>
      <c r="AA306" s="32">
        <f t="shared" si="145"/>
        <v>20100</v>
      </c>
      <c r="AB306" s="32">
        <f t="shared" si="145"/>
        <v>20100</v>
      </c>
      <c r="AC306" s="32">
        <f t="shared" si="145"/>
        <v>16728</v>
      </c>
      <c r="AD306" s="23">
        <f t="shared" si="145"/>
        <v>3372</v>
      </c>
    </row>
    <row r="307" spans="1:30" ht="16.5">
      <c r="A307" s="8" t="s">
        <v>499</v>
      </c>
      <c r="B307" s="8" t="s">
        <v>500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26">
        <f aca="true" t="shared" si="146" ref="AA307:AB310">SUM(C307+G307+K307+O307+S307+W307)</f>
        <v>0</v>
      </c>
      <c r="AB307" s="26">
        <f t="shared" si="146"/>
        <v>0</v>
      </c>
      <c r="AC307" s="26">
        <f>SUM(E307+I307+Q307+U307+M307+Y307)</f>
        <v>0</v>
      </c>
      <c r="AD307" s="33">
        <f>AA307-AC307</f>
        <v>0</v>
      </c>
    </row>
    <row r="308" spans="1:30" ht="16.5">
      <c r="A308" s="8" t="s">
        <v>501</v>
      </c>
      <c r="B308" s="8" t="s">
        <v>502</v>
      </c>
      <c r="C308" s="33">
        <v>13600</v>
      </c>
      <c r="D308" s="33">
        <v>13600</v>
      </c>
      <c r="E308" s="33">
        <f>590</f>
        <v>590</v>
      </c>
      <c r="F308" s="33">
        <f>C308-E308</f>
        <v>13010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26">
        <f t="shared" si="146"/>
        <v>13600</v>
      </c>
      <c r="AB308" s="26">
        <f t="shared" si="146"/>
        <v>13600</v>
      </c>
      <c r="AC308" s="26">
        <f>SUM(E308+I308+Q308+U308+M308+Y308)</f>
        <v>590</v>
      </c>
      <c r="AD308" s="33">
        <f>AA308-AC308</f>
        <v>13010</v>
      </c>
    </row>
    <row r="309" spans="1:30" ht="16.5">
      <c r="A309" s="8" t="s">
        <v>503</v>
      </c>
      <c r="B309" s="8" t="s">
        <v>504</v>
      </c>
      <c r="C309" s="33">
        <v>5500</v>
      </c>
      <c r="D309" s="33">
        <v>5500</v>
      </c>
      <c r="E309" s="33">
        <f>3466+243+12429</f>
        <v>16138</v>
      </c>
      <c r="F309" s="33">
        <f>C309-E309</f>
        <v>-10638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26">
        <f t="shared" si="146"/>
        <v>5500</v>
      </c>
      <c r="AB309" s="26">
        <f t="shared" si="146"/>
        <v>5500</v>
      </c>
      <c r="AC309" s="26">
        <f>SUM(E309+I309+Q309+U309+M309+Y309)</f>
        <v>16138</v>
      </c>
      <c r="AD309" s="33">
        <f>AA309-AC309</f>
        <v>-10638</v>
      </c>
    </row>
    <row r="310" spans="1:30" ht="16.5">
      <c r="A310" s="8" t="s">
        <v>505</v>
      </c>
      <c r="B310" s="8" t="s">
        <v>400</v>
      </c>
      <c r="C310" s="33">
        <v>1000</v>
      </c>
      <c r="D310" s="33">
        <v>1000</v>
      </c>
      <c r="E310" s="33"/>
      <c r="F310" s="33">
        <f>C310-E310</f>
        <v>1000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26">
        <f t="shared" si="146"/>
        <v>1000</v>
      </c>
      <c r="AB310" s="26">
        <f t="shared" si="146"/>
        <v>1000</v>
      </c>
      <c r="AC310" s="26">
        <f>SUM(E310+I310+Q310+U310+M310+Y310)</f>
        <v>0</v>
      </c>
      <c r="AD310" s="33">
        <f>AA310-AC310</f>
        <v>1000</v>
      </c>
    </row>
    <row r="311" spans="1:30" ht="16.5">
      <c r="A311" s="7" t="s">
        <v>506</v>
      </c>
      <c r="B311" s="7" t="s">
        <v>507</v>
      </c>
      <c r="C311" s="23">
        <f>SUM(C312+C313+C314+C315+C316+C317+C318)</f>
        <v>5000</v>
      </c>
      <c r="D311" s="23">
        <f aca="true" t="shared" si="147" ref="D311:AD311">SUM(D312+D313+D314+D315+D316+D317+D318)</f>
        <v>5000</v>
      </c>
      <c r="E311" s="23">
        <f t="shared" si="147"/>
        <v>336</v>
      </c>
      <c r="F311" s="23"/>
      <c r="G311" s="23">
        <f t="shared" si="147"/>
        <v>0</v>
      </c>
      <c r="H311" s="23">
        <f t="shared" si="147"/>
        <v>0</v>
      </c>
      <c r="I311" s="23">
        <f t="shared" si="147"/>
        <v>0</v>
      </c>
      <c r="J311" s="23"/>
      <c r="K311" s="23">
        <f t="shared" si="147"/>
        <v>2500</v>
      </c>
      <c r="L311" s="23">
        <f t="shared" si="147"/>
        <v>2500</v>
      </c>
      <c r="M311" s="23">
        <f t="shared" si="147"/>
        <v>317</v>
      </c>
      <c r="N311" s="23"/>
      <c r="O311" s="23">
        <f t="shared" si="147"/>
        <v>0</v>
      </c>
      <c r="P311" s="23">
        <f t="shared" si="147"/>
        <v>0</v>
      </c>
      <c r="Q311" s="23">
        <f t="shared" si="147"/>
        <v>0</v>
      </c>
      <c r="R311" s="23"/>
      <c r="S311" s="23">
        <f t="shared" si="147"/>
        <v>0</v>
      </c>
      <c r="T311" s="23">
        <f t="shared" si="147"/>
        <v>0</v>
      </c>
      <c r="U311" s="23">
        <f t="shared" si="147"/>
        <v>0</v>
      </c>
      <c r="V311" s="23"/>
      <c r="W311" s="23">
        <f t="shared" si="147"/>
        <v>0</v>
      </c>
      <c r="X311" s="23">
        <f t="shared" si="147"/>
        <v>0</v>
      </c>
      <c r="Y311" s="23">
        <f t="shared" si="147"/>
        <v>0</v>
      </c>
      <c r="Z311" s="23"/>
      <c r="AA311" s="32">
        <f t="shared" si="147"/>
        <v>7500</v>
      </c>
      <c r="AB311" s="32">
        <f t="shared" si="147"/>
        <v>7500</v>
      </c>
      <c r="AC311" s="32">
        <f t="shared" si="147"/>
        <v>653</v>
      </c>
      <c r="AD311" s="23">
        <f t="shared" si="147"/>
        <v>6847</v>
      </c>
    </row>
    <row r="312" spans="1:30" ht="16.5">
      <c r="A312" s="8" t="s">
        <v>508</v>
      </c>
      <c r="B312" s="8" t="s">
        <v>509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26">
        <f aca="true" t="shared" si="148" ref="AA312:AA318">SUM(C312+G312+K312+O312+S312+W312)</f>
        <v>0</v>
      </c>
      <c r="AB312" s="26">
        <f aca="true" t="shared" si="149" ref="AB312:AB318">SUM(D312+H312+L312+P312+T312+X312)</f>
        <v>0</v>
      </c>
      <c r="AC312" s="26">
        <f aca="true" t="shared" si="150" ref="AC312:AC318">SUM(E312+I312+Q312+U312+M312+Y312)</f>
        <v>0</v>
      </c>
      <c r="AD312" s="33">
        <f>AA312-AC312</f>
        <v>0</v>
      </c>
    </row>
    <row r="313" spans="1:30" ht="16.5">
      <c r="A313" s="8" t="s">
        <v>510</v>
      </c>
      <c r="B313" s="8" t="s">
        <v>511</v>
      </c>
      <c r="C313" s="33">
        <v>500</v>
      </c>
      <c r="D313" s="33">
        <v>500</v>
      </c>
      <c r="E313" s="33">
        <f>240</f>
        <v>240</v>
      </c>
      <c r="F313" s="33">
        <f>C313-E313</f>
        <v>260</v>
      </c>
      <c r="G313" s="33"/>
      <c r="H313" s="33"/>
      <c r="I313" s="33"/>
      <c r="J313" s="33">
        <f>G313-I313</f>
        <v>0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26">
        <f t="shared" si="148"/>
        <v>500</v>
      </c>
      <c r="AB313" s="26">
        <f t="shared" si="149"/>
        <v>500</v>
      </c>
      <c r="AC313" s="26">
        <f t="shared" si="150"/>
        <v>240</v>
      </c>
      <c r="AD313" s="33">
        <f aca="true" t="shared" si="151" ref="AD313:AD318">AA313-AC313</f>
        <v>260</v>
      </c>
    </row>
    <row r="314" spans="1:30" ht="16.5">
      <c r="A314" s="8" t="s">
        <v>512</v>
      </c>
      <c r="B314" s="8" t="s">
        <v>513</v>
      </c>
      <c r="C314" s="33"/>
      <c r="D314" s="33"/>
      <c r="E314" s="33"/>
      <c r="F314" s="33"/>
      <c r="G314" s="33"/>
      <c r="H314" s="33"/>
      <c r="I314" s="33"/>
      <c r="J314" s="33"/>
      <c r="K314" s="33">
        <v>2500</v>
      </c>
      <c r="L314" s="33">
        <v>2500</v>
      </c>
      <c r="M314" s="33">
        <f>317</f>
        <v>317</v>
      </c>
      <c r="N314" s="33">
        <f>K314-M314</f>
        <v>2183</v>
      </c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26">
        <f t="shared" si="148"/>
        <v>2500</v>
      </c>
      <c r="AB314" s="26">
        <f t="shared" si="149"/>
        <v>2500</v>
      </c>
      <c r="AC314" s="26">
        <f t="shared" si="150"/>
        <v>317</v>
      </c>
      <c r="AD314" s="33">
        <f t="shared" si="151"/>
        <v>2183</v>
      </c>
    </row>
    <row r="315" spans="1:30" ht="16.5">
      <c r="A315" s="8" t="s">
        <v>514</v>
      </c>
      <c r="B315" s="8" t="s">
        <v>515</v>
      </c>
      <c r="C315" s="33"/>
      <c r="D315" s="33"/>
      <c r="E315" s="33">
        <f>96</f>
        <v>96</v>
      </c>
      <c r="F315" s="33">
        <f>C315-E315</f>
        <v>-96</v>
      </c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26">
        <f t="shared" si="148"/>
        <v>0</v>
      </c>
      <c r="AB315" s="26">
        <f t="shared" si="149"/>
        <v>0</v>
      </c>
      <c r="AC315" s="26">
        <f t="shared" si="150"/>
        <v>96</v>
      </c>
      <c r="AD315" s="33">
        <f t="shared" si="151"/>
        <v>-96</v>
      </c>
    </row>
    <row r="316" spans="1:30" ht="16.5">
      <c r="A316" s="8" t="s">
        <v>516</v>
      </c>
      <c r="B316" s="8" t="s">
        <v>517</v>
      </c>
      <c r="C316" s="33">
        <v>1000</v>
      </c>
      <c r="D316" s="33">
        <v>1000</v>
      </c>
      <c r="E316" s="33"/>
      <c r="F316" s="33">
        <f>C316-E316</f>
        <v>1000</v>
      </c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26">
        <f t="shared" si="148"/>
        <v>1000</v>
      </c>
      <c r="AB316" s="26">
        <f t="shared" si="149"/>
        <v>1000</v>
      </c>
      <c r="AC316" s="26">
        <f t="shared" si="150"/>
        <v>0</v>
      </c>
      <c r="AD316" s="33">
        <f t="shared" si="151"/>
        <v>1000</v>
      </c>
    </row>
    <row r="317" spans="1:30" ht="16.5">
      <c r="A317" s="8" t="s">
        <v>745</v>
      </c>
      <c r="B317" s="8" t="s">
        <v>746</v>
      </c>
      <c r="C317" s="33">
        <v>500</v>
      </c>
      <c r="D317" s="33">
        <v>500</v>
      </c>
      <c r="E317" s="33"/>
      <c r="F317" s="33">
        <f>C317-E317</f>
        <v>500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26">
        <f t="shared" si="148"/>
        <v>500</v>
      </c>
      <c r="AB317" s="26">
        <f t="shared" si="149"/>
        <v>500</v>
      </c>
      <c r="AC317" s="26">
        <f t="shared" si="150"/>
        <v>0</v>
      </c>
      <c r="AD317" s="33">
        <f t="shared" si="151"/>
        <v>500</v>
      </c>
    </row>
    <row r="318" spans="1:30" ht="16.5">
      <c r="A318" s="8" t="s">
        <v>518</v>
      </c>
      <c r="B318" s="8" t="s">
        <v>400</v>
      </c>
      <c r="C318" s="33">
        <v>3000</v>
      </c>
      <c r="D318" s="33">
        <v>3000</v>
      </c>
      <c r="E318" s="33"/>
      <c r="F318" s="33">
        <f>C318-E318</f>
        <v>3000</v>
      </c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26">
        <f t="shared" si="148"/>
        <v>3000</v>
      </c>
      <c r="AB318" s="26">
        <f t="shared" si="149"/>
        <v>3000</v>
      </c>
      <c r="AC318" s="26">
        <f t="shared" si="150"/>
        <v>0</v>
      </c>
      <c r="AD318" s="33">
        <f t="shared" si="151"/>
        <v>3000</v>
      </c>
    </row>
    <row r="319" spans="1:30" ht="16.5">
      <c r="A319" s="6" t="s">
        <v>519</v>
      </c>
      <c r="B319" s="6" t="s">
        <v>520</v>
      </c>
      <c r="C319" s="22">
        <f>SUM(C320+C322)</f>
        <v>1000</v>
      </c>
      <c r="D319" s="22">
        <f aca="true" t="shared" si="152" ref="D319:AD319">SUM(D320+D322)</f>
        <v>1000</v>
      </c>
      <c r="E319" s="22">
        <f t="shared" si="152"/>
        <v>0</v>
      </c>
      <c r="F319" s="22"/>
      <c r="G319" s="22">
        <f t="shared" si="152"/>
        <v>0</v>
      </c>
      <c r="H319" s="22">
        <f t="shared" si="152"/>
        <v>0</v>
      </c>
      <c r="I319" s="22">
        <f t="shared" si="152"/>
        <v>0</v>
      </c>
      <c r="J319" s="22"/>
      <c r="K319" s="22">
        <f t="shared" si="152"/>
        <v>0</v>
      </c>
      <c r="L319" s="22">
        <f t="shared" si="152"/>
        <v>0</v>
      </c>
      <c r="M319" s="22">
        <f t="shared" si="152"/>
        <v>0</v>
      </c>
      <c r="N319" s="22"/>
      <c r="O319" s="22">
        <f t="shared" si="152"/>
        <v>0</v>
      </c>
      <c r="P319" s="22">
        <f t="shared" si="152"/>
        <v>0</v>
      </c>
      <c r="Q319" s="22">
        <f t="shared" si="152"/>
        <v>0</v>
      </c>
      <c r="R319" s="22"/>
      <c r="S319" s="22">
        <f t="shared" si="152"/>
        <v>0</v>
      </c>
      <c r="T319" s="22">
        <f t="shared" si="152"/>
        <v>0</v>
      </c>
      <c r="U319" s="22">
        <f t="shared" si="152"/>
        <v>0</v>
      </c>
      <c r="V319" s="22"/>
      <c r="W319" s="22">
        <f t="shared" si="152"/>
        <v>0</v>
      </c>
      <c r="X319" s="22">
        <f t="shared" si="152"/>
        <v>0</v>
      </c>
      <c r="Y319" s="22">
        <f t="shared" si="152"/>
        <v>0</v>
      </c>
      <c r="Z319" s="22"/>
      <c r="AA319" s="22">
        <f t="shared" si="152"/>
        <v>1000</v>
      </c>
      <c r="AB319" s="22">
        <f t="shared" si="152"/>
        <v>1000</v>
      </c>
      <c r="AC319" s="22">
        <f t="shared" si="152"/>
        <v>0</v>
      </c>
      <c r="AD319" s="22">
        <f t="shared" si="152"/>
        <v>1000</v>
      </c>
    </row>
    <row r="320" spans="1:30" ht="16.5">
      <c r="A320" s="7" t="s">
        <v>521</v>
      </c>
      <c r="B320" s="7" t="s">
        <v>522</v>
      </c>
      <c r="C320" s="23">
        <f>SUM(C321)</f>
        <v>1000</v>
      </c>
      <c r="D320" s="23">
        <f aca="true" t="shared" si="153" ref="D320:AD320">SUM(D321)</f>
        <v>1000</v>
      </c>
      <c r="E320" s="23">
        <f t="shared" si="153"/>
        <v>0</v>
      </c>
      <c r="F320" s="23"/>
      <c r="G320" s="23">
        <f t="shared" si="153"/>
        <v>0</v>
      </c>
      <c r="H320" s="23">
        <f t="shared" si="153"/>
        <v>0</v>
      </c>
      <c r="I320" s="23">
        <f t="shared" si="153"/>
        <v>0</v>
      </c>
      <c r="J320" s="23"/>
      <c r="K320" s="23">
        <f t="shared" si="153"/>
        <v>0</v>
      </c>
      <c r="L320" s="23">
        <f t="shared" si="153"/>
        <v>0</v>
      </c>
      <c r="M320" s="23">
        <f t="shared" si="153"/>
        <v>0</v>
      </c>
      <c r="N320" s="23"/>
      <c r="O320" s="23">
        <f t="shared" si="153"/>
        <v>0</v>
      </c>
      <c r="P320" s="23">
        <f t="shared" si="153"/>
        <v>0</v>
      </c>
      <c r="Q320" s="23">
        <f t="shared" si="153"/>
        <v>0</v>
      </c>
      <c r="R320" s="23"/>
      <c r="S320" s="23">
        <f t="shared" si="153"/>
        <v>0</v>
      </c>
      <c r="T320" s="23">
        <f t="shared" si="153"/>
        <v>0</v>
      </c>
      <c r="U320" s="23">
        <f t="shared" si="153"/>
        <v>0</v>
      </c>
      <c r="V320" s="23"/>
      <c r="W320" s="23">
        <f t="shared" si="153"/>
        <v>0</v>
      </c>
      <c r="X320" s="23">
        <f t="shared" si="153"/>
        <v>0</v>
      </c>
      <c r="Y320" s="23">
        <f t="shared" si="153"/>
        <v>0</v>
      </c>
      <c r="Z320" s="23"/>
      <c r="AA320" s="32">
        <f t="shared" si="153"/>
        <v>1000</v>
      </c>
      <c r="AB320" s="32">
        <f t="shared" si="153"/>
        <v>1000</v>
      </c>
      <c r="AC320" s="32">
        <f t="shared" si="153"/>
        <v>0</v>
      </c>
      <c r="AD320" s="23">
        <f t="shared" si="153"/>
        <v>1000</v>
      </c>
    </row>
    <row r="321" spans="1:30" ht="16.5">
      <c r="A321" s="8" t="s">
        <v>523</v>
      </c>
      <c r="B321" s="8" t="s">
        <v>524</v>
      </c>
      <c r="C321" s="33">
        <v>1000</v>
      </c>
      <c r="D321" s="33">
        <v>1000</v>
      </c>
      <c r="E321" s="33"/>
      <c r="F321" s="33">
        <f>C321-E321</f>
        <v>1000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26">
        <f>SUM(C321+G321+K321+O321+S321+W321)</f>
        <v>1000</v>
      </c>
      <c r="AB321" s="26">
        <f>SUM(D321+H321+L321+P321+T321+X321)</f>
        <v>1000</v>
      </c>
      <c r="AC321" s="26">
        <f>SUM(E321+I321+Q321+U321+M321+Y321)</f>
        <v>0</v>
      </c>
      <c r="AD321" s="33">
        <f>AA321-AC321</f>
        <v>1000</v>
      </c>
    </row>
    <row r="322" spans="1:30" ht="16.5">
      <c r="A322" s="7" t="s">
        <v>785</v>
      </c>
      <c r="B322" s="7" t="s">
        <v>786</v>
      </c>
      <c r="C322" s="35">
        <f>C323+C324</f>
        <v>0</v>
      </c>
      <c r="D322" s="35">
        <f aca="true" t="shared" si="154" ref="D322:Y322">D323+D324</f>
        <v>0</v>
      </c>
      <c r="E322" s="35">
        <f t="shared" si="154"/>
        <v>0</v>
      </c>
      <c r="F322" s="35"/>
      <c r="G322" s="35">
        <f t="shared" si="154"/>
        <v>0</v>
      </c>
      <c r="H322" s="35">
        <f t="shared" si="154"/>
        <v>0</v>
      </c>
      <c r="I322" s="35">
        <f t="shared" si="154"/>
        <v>0</v>
      </c>
      <c r="J322" s="35"/>
      <c r="K322" s="35">
        <f t="shared" si="154"/>
        <v>0</v>
      </c>
      <c r="L322" s="35">
        <f t="shared" si="154"/>
        <v>0</v>
      </c>
      <c r="M322" s="35">
        <f t="shared" si="154"/>
        <v>0</v>
      </c>
      <c r="N322" s="35"/>
      <c r="O322" s="35">
        <f t="shared" si="154"/>
        <v>0</v>
      </c>
      <c r="P322" s="35">
        <f t="shared" si="154"/>
        <v>0</v>
      </c>
      <c r="Q322" s="35">
        <f t="shared" si="154"/>
        <v>0</v>
      </c>
      <c r="R322" s="35"/>
      <c r="S322" s="35">
        <f t="shared" si="154"/>
        <v>0</v>
      </c>
      <c r="T322" s="35">
        <f t="shared" si="154"/>
        <v>0</v>
      </c>
      <c r="U322" s="35">
        <f t="shared" si="154"/>
        <v>0</v>
      </c>
      <c r="V322" s="35"/>
      <c r="W322" s="35">
        <f t="shared" si="154"/>
        <v>0</v>
      </c>
      <c r="X322" s="35">
        <f t="shared" si="154"/>
        <v>0</v>
      </c>
      <c r="Y322" s="35">
        <f t="shared" si="154"/>
        <v>0</v>
      </c>
      <c r="Z322" s="35"/>
      <c r="AA322" s="35">
        <f>AA323+AA324</f>
        <v>0</v>
      </c>
      <c r="AB322" s="35">
        <f>AB323+AB324</f>
        <v>0</v>
      </c>
      <c r="AC322" s="35">
        <f>AC323+AC324</f>
        <v>0</v>
      </c>
      <c r="AD322" s="35">
        <f>AD323+AD324</f>
        <v>0</v>
      </c>
    </row>
    <row r="323" spans="1:30" ht="16.5">
      <c r="A323" s="8" t="s">
        <v>787</v>
      </c>
      <c r="B323" s="8" t="s">
        <v>788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26">
        <f>SUM(C323+G323+K323+O323+S323+W323)</f>
        <v>0</v>
      </c>
      <c r="AB323" s="26">
        <f>SUM(D323+H323+L323+P323+T323+X323)</f>
        <v>0</v>
      </c>
      <c r="AC323" s="26">
        <f>SUM(E323+I323+Q323+U323+M323+Y323)</f>
        <v>0</v>
      </c>
      <c r="AD323" s="33"/>
    </row>
    <row r="324" spans="1:30" ht="16.5">
      <c r="A324" s="8" t="s">
        <v>789</v>
      </c>
      <c r="B324" s="8" t="s">
        <v>790</v>
      </c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26">
        <f>SUM(C324+G324+K324+O324+S324+W324)</f>
        <v>0</v>
      </c>
      <c r="AB324" s="26">
        <f>SUM(D324+H324+L324+P324+T324+X324)</f>
        <v>0</v>
      </c>
      <c r="AC324" s="26">
        <f>SUM(E324+I324+Q324+U324+M324+Y324)</f>
        <v>0</v>
      </c>
      <c r="AD324" s="33"/>
    </row>
    <row r="325" spans="1:30" ht="16.5">
      <c r="A325" s="6" t="s">
        <v>525</v>
      </c>
      <c r="B325" s="6" t="s">
        <v>526</v>
      </c>
      <c r="C325" s="22">
        <f>SUM(C326+C337+C362+C363+C364+C365)</f>
        <v>830000</v>
      </c>
      <c r="D325" s="22">
        <f aca="true" t="shared" si="155" ref="D325:AD325">SUM(D326+D337+D362+D363+D364+D365)</f>
        <v>830000</v>
      </c>
      <c r="E325" s="22">
        <f t="shared" si="155"/>
        <v>661232</v>
      </c>
      <c r="F325" s="22"/>
      <c r="G325" s="22">
        <f t="shared" si="155"/>
        <v>91000</v>
      </c>
      <c r="H325" s="22">
        <f t="shared" si="155"/>
        <v>91000</v>
      </c>
      <c r="I325" s="22">
        <f t="shared" si="155"/>
        <v>22868</v>
      </c>
      <c r="J325" s="22"/>
      <c r="K325" s="22">
        <f t="shared" si="155"/>
        <v>20000</v>
      </c>
      <c r="L325" s="22">
        <f t="shared" si="155"/>
        <v>20000</v>
      </c>
      <c r="M325" s="22">
        <f t="shared" si="155"/>
        <v>19220</v>
      </c>
      <c r="N325" s="22"/>
      <c r="O325" s="22">
        <f t="shared" si="155"/>
        <v>82000</v>
      </c>
      <c r="P325" s="22">
        <f t="shared" si="155"/>
        <v>82000</v>
      </c>
      <c r="Q325" s="22">
        <f t="shared" si="155"/>
        <v>42794</v>
      </c>
      <c r="R325" s="22"/>
      <c r="S325" s="22">
        <f t="shared" si="155"/>
        <v>2000</v>
      </c>
      <c r="T325" s="22">
        <f t="shared" si="155"/>
        <v>2000</v>
      </c>
      <c r="U325" s="22">
        <f t="shared" si="155"/>
        <v>0</v>
      </c>
      <c r="V325" s="22"/>
      <c r="W325" s="22">
        <f t="shared" si="155"/>
        <v>0</v>
      </c>
      <c r="X325" s="22">
        <f t="shared" si="155"/>
        <v>0</v>
      </c>
      <c r="Y325" s="22">
        <f t="shared" si="155"/>
        <v>0</v>
      </c>
      <c r="Z325" s="22"/>
      <c r="AA325" s="34">
        <f t="shared" si="155"/>
        <v>1025000</v>
      </c>
      <c r="AB325" s="34">
        <f t="shared" si="155"/>
        <v>1025000</v>
      </c>
      <c r="AC325" s="34">
        <f t="shared" si="155"/>
        <v>746114</v>
      </c>
      <c r="AD325" s="22">
        <f t="shared" si="155"/>
        <v>278886</v>
      </c>
    </row>
    <row r="326" spans="1:30" ht="16.5">
      <c r="A326" s="7" t="s">
        <v>527</v>
      </c>
      <c r="B326" s="7" t="s">
        <v>528</v>
      </c>
      <c r="C326" s="23">
        <f>SUM(C327+C328+C329+C330+C331+C332+C333+C334+C335+C336)</f>
        <v>0</v>
      </c>
      <c r="D326" s="23">
        <f aca="true" t="shared" si="156" ref="D326:Y326">SUM(D327+D328+D329+D330+D331+D332+D333+D334+D335+D336)</f>
        <v>0</v>
      </c>
      <c r="E326" s="23">
        <f t="shared" si="156"/>
        <v>0</v>
      </c>
      <c r="F326" s="23"/>
      <c r="G326" s="23">
        <f t="shared" si="156"/>
        <v>90000</v>
      </c>
      <c r="H326" s="23">
        <f t="shared" si="156"/>
        <v>90000</v>
      </c>
      <c r="I326" s="23">
        <f t="shared" si="156"/>
        <v>22210</v>
      </c>
      <c r="J326" s="23"/>
      <c r="K326" s="23">
        <f t="shared" si="156"/>
        <v>20000</v>
      </c>
      <c r="L326" s="23">
        <f t="shared" si="156"/>
        <v>20000</v>
      </c>
      <c r="M326" s="23">
        <f t="shared" si="156"/>
        <v>19220</v>
      </c>
      <c r="N326" s="23"/>
      <c r="O326" s="23">
        <f t="shared" si="156"/>
        <v>82000</v>
      </c>
      <c r="P326" s="23">
        <f t="shared" si="156"/>
        <v>82000</v>
      </c>
      <c r="Q326" s="23">
        <f t="shared" si="156"/>
        <v>42794</v>
      </c>
      <c r="R326" s="23"/>
      <c r="S326" s="23">
        <f t="shared" si="156"/>
        <v>2000</v>
      </c>
      <c r="T326" s="23">
        <f t="shared" si="156"/>
        <v>2000</v>
      </c>
      <c r="U326" s="23">
        <f t="shared" si="156"/>
        <v>0</v>
      </c>
      <c r="V326" s="23"/>
      <c r="W326" s="23">
        <f t="shared" si="156"/>
        <v>0</v>
      </c>
      <c r="X326" s="23">
        <f t="shared" si="156"/>
        <v>0</v>
      </c>
      <c r="Y326" s="23">
        <f t="shared" si="156"/>
        <v>0</v>
      </c>
      <c r="Z326" s="23"/>
      <c r="AA326" s="23">
        <f>SUM(AA327+AA328+AA329+AA330+AA331+AA332+AA333+AA334+AA335+AA336)</f>
        <v>194000</v>
      </c>
      <c r="AB326" s="23">
        <f>SUM(AB327+AB328+AB329+AB330+AB331+AB332+AB333+AB334+AB335+AB336)</f>
        <v>194000</v>
      </c>
      <c r="AC326" s="23">
        <f>SUM(AC327+AC328+AC329+AC330+AC331+AC332+AC333+AC334+AC335+AC336)</f>
        <v>84224</v>
      </c>
      <c r="AD326" s="23">
        <f>SUM(AD327+AD328+AD329+AD330+AD331+AD332+AD333+AD334+AD335+AD336)</f>
        <v>109776</v>
      </c>
    </row>
    <row r="327" spans="1:30" ht="16.5">
      <c r="A327" s="8" t="s">
        <v>529</v>
      </c>
      <c r="B327" s="8" t="s">
        <v>530</v>
      </c>
      <c r="C327" s="33"/>
      <c r="D327" s="33"/>
      <c r="E327" s="33"/>
      <c r="F327" s="33"/>
      <c r="G327" s="33">
        <v>10000</v>
      </c>
      <c r="H327" s="33">
        <v>10000</v>
      </c>
      <c r="I327" s="33"/>
      <c r="J327" s="33">
        <f>G327-I327</f>
        <v>10000</v>
      </c>
      <c r="K327" s="33"/>
      <c r="L327" s="33"/>
      <c r="M327" s="33"/>
      <c r="N327" s="33"/>
      <c r="O327" s="33">
        <v>2000</v>
      </c>
      <c r="P327" s="33">
        <v>2000</v>
      </c>
      <c r="Q327" s="33"/>
      <c r="R327" s="33">
        <f>O327-Q327</f>
        <v>2000</v>
      </c>
      <c r="S327" s="33"/>
      <c r="T327" s="33"/>
      <c r="U327" s="33"/>
      <c r="V327" s="33"/>
      <c r="W327" s="33"/>
      <c r="X327" s="33"/>
      <c r="Y327" s="33"/>
      <c r="Z327" s="33"/>
      <c r="AA327" s="26">
        <f aca="true" t="shared" si="157" ref="AA327:AA336">SUM(C327+G327+K327+O327+S327+W327)</f>
        <v>12000</v>
      </c>
      <c r="AB327" s="26">
        <f aca="true" t="shared" si="158" ref="AB327:AB336">SUM(D327+H327+L327+P327+T327+X327)</f>
        <v>12000</v>
      </c>
      <c r="AC327" s="26">
        <f aca="true" t="shared" si="159" ref="AC327:AC336">SUM(E327+I327+Q327+U327+M327+Y327)</f>
        <v>0</v>
      </c>
      <c r="AD327" s="33">
        <f>AA327-AC327</f>
        <v>12000</v>
      </c>
    </row>
    <row r="328" spans="1:30" ht="16.5">
      <c r="A328" s="8" t="s">
        <v>531</v>
      </c>
      <c r="B328" s="8" t="s">
        <v>532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26">
        <f t="shared" si="157"/>
        <v>0</v>
      </c>
      <c r="AB328" s="26">
        <f t="shared" si="158"/>
        <v>0</v>
      </c>
      <c r="AC328" s="26">
        <f t="shared" si="159"/>
        <v>0</v>
      </c>
      <c r="AD328" s="33">
        <f aca="true" t="shared" si="160" ref="AD328:AD336">AA328-AC328</f>
        <v>0</v>
      </c>
    </row>
    <row r="329" spans="1:30" ht="16.5">
      <c r="A329" s="8" t="s">
        <v>533</v>
      </c>
      <c r="B329" s="8" t="s">
        <v>534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26">
        <f t="shared" si="157"/>
        <v>0</v>
      </c>
      <c r="AB329" s="26">
        <f t="shared" si="158"/>
        <v>0</v>
      </c>
      <c r="AC329" s="26">
        <f t="shared" si="159"/>
        <v>0</v>
      </c>
      <c r="AD329" s="33">
        <f t="shared" si="160"/>
        <v>0</v>
      </c>
    </row>
    <row r="330" spans="1:30" ht="16.5">
      <c r="A330" s="8" t="s">
        <v>535</v>
      </c>
      <c r="B330" s="8" t="s">
        <v>536</v>
      </c>
      <c r="C330" s="33"/>
      <c r="D330" s="33"/>
      <c r="E330" s="33"/>
      <c r="F330" s="33"/>
      <c r="G330" s="33">
        <v>14000</v>
      </c>
      <c r="H330" s="33">
        <v>14000</v>
      </c>
      <c r="I330" s="33">
        <f>270+800</f>
        <v>1070</v>
      </c>
      <c r="J330" s="33">
        <f>G330-I330</f>
        <v>12930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26">
        <f t="shared" si="157"/>
        <v>14000</v>
      </c>
      <c r="AB330" s="26">
        <f t="shared" si="158"/>
        <v>14000</v>
      </c>
      <c r="AC330" s="26">
        <f t="shared" si="159"/>
        <v>1070</v>
      </c>
      <c r="AD330" s="33">
        <f t="shared" si="160"/>
        <v>12930</v>
      </c>
    </row>
    <row r="331" spans="1:30" ht="16.5">
      <c r="A331" s="8" t="s">
        <v>537</v>
      </c>
      <c r="B331" s="8" t="s">
        <v>538</v>
      </c>
      <c r="C331" s="33"/>
      <c r="D331" s="33"/>
      <c r="E331" s="33"/>
      <c r="F331" s="33"/>
      <c r="G331" s="33">
        <v>15000</v>
      </c>
      <c r="H331" s="33">
        <v>15000</v>
      </c>
      <c r="I331" s="33"/>
      <c r="J331" s="33">
        <f>G331-I331</f>
        <v>15000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26">
        <f t="shared" si="157"/>
        <v>15000</v>
      </c>
      <c r="AB331" s="26">
        <f t="shared" si="158"/>
        <v>15000</v>
      </c>
      <c r="AC331" s="26">
        <f t="shared" si="159"/>
        <v>0</v>
      </c>
      <c r="AD331" s="33">
        <f t="shared" si="160"/>
        <v>15000</v>
      </c>
    </row>
    <row r="332" spans="1:30" ht="16.5">
      <c r="A332" s="8" t="s">
        <v>539</v>
      </c>
      <c r="B332" s="8" t="s">
        <v>540</v>
      </c>
      <c r="C332" s="33"/>
      <c r="D332" s="33"/>
      <c r="E332" s="33"/>
      <c r="F332" s="33"/>
      <c r="G332" s="33">
        <v>7000</v>
      </c>
      <c r="H332" s="33">
        <v>7000</v>
      </c>
      <c r="I332" s="33">
        <f>1187</f>
        <v>1187</v>
      </c>
      <c r="J332" s="33">
        <f>G332-I332</f>
        <v>5813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26">
        <f t="shared" si="157"/>
        <v>7000</v>
      </c>
      <c r="AB332" s="26">
        <f t="shared" si="158"/>
        <v>7000</v>
      </c>
      <c r="AC332" s="26">
        <f t="shared" si="159"/>
        <v>1187</v>
      </c>
      <c r="AD332" s="33">
        <f t="shared" si="160"/>
        <v>5813</v>
      </c>
    </row>
    <row r="333" spans="1:30" ht="16.5">
      <c r="A333" s="8" t="s">
        <v>541</v>
      </c>
      <c r="B333" s="8" t="s">
        <v>542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>
        <v>70000</v>
      </c>
      <c r="P333" s="33">
        <v>70000</v>
      </c>
      <c r="Q333" s="33">
        <f>20571+7172+2108+2043+8947+738+1215</f>
        <v>42794</v>
      </c>
      <c r="R333" s="33">
        <f>O333-Q333</f>
        <v>27206</v>
      </c>
      <c r="S333" s="33"/>
      <c r="T333" s="33"/>
      <c r="U333" s="33"/>
      <c r="V333" s="33"/>
      <c r="W333" s="33"/>
      <c r="X333" s="33"/>
      <c r="Y333" s="33"/>
      <c r="Z333" s="33"/>
      <c r="AA333" s="26">
        <f t="shared" si="157"/>
        <v>70000</v>
      </c>
      <c r="AB333" s="26">
        <f t="shared" si="158"/>
        <v>70000</v>
      </c>
      <c r="AC333" s="26">
        <f t="shared" si="159"/>
        <v>42794</v>
      </c>
      <c r="AD333" s="33">
        <f t="shared" si="160"/>
        <v>27206</v>
      </c>
    </row>
    <row r="334" spans="1:30" ht="16.5">
      <c r="A334" s="8" t="s">
        <v>543</v>
      </c>
      <c r="B334" s="8" t="s">
        <v>544</v>
      </c>
      <c r="C334" s="33"/>
      <c r="D334" s="33"/>
      <c r="E334" s="33"/>
      <c r="F334" s="33"/>
      <c r="G334" s="33">
        <v>14000</v>
      </c>
      <c r="H334" s="33">
        <v>14000</v>
      </c>
      <c r="I334" s="33">
        <f>34+800+600+400+400+300+87</f>
        <v>2621</v>
      </c>
      <c r="J334" s="33">
        <f>G334-I334</f>
        <v>11379</v>
      </c>
      <c r="K334" s="33">
        <v>20000</v>
      </c>
      <c r="L334" s="33">
        <v>20000</v>
      </c>
      <c r="M334" s="33">
        <f>18072+350+546+252</f>
        <v>19220</v>
      </c>
      <c r="N334" s="33">
        <f>K334-M334</f>
        <v>780</v>
      </c>
      <c r="O334" s="33"/>
      <c r="P334" s="33"/>
      <c r="Q334" s="33"/>
      <c r="R334" s="33"/>
      <c r="S334" s="33">
        <v>2000</v>
      </c>
      <c r="T334" s="33">
        <v>2000</v>
      </c>
      <c r="U334" s="33"/>
      <c r="V334" s="33">
        <f>S334-U334</f>
        <v>2000</v>
      </c>
      <c r="W334" s="33"/>
      <c r="X334" s="33"/>
      <c r="Y334" s="33"/>
      <c r="Z334" s="33"/>
      <c r="AA334" s="26">
        <f t="shared" si="157"/>
        <v>36000</v>
      </c>
      <c r="AB334" s="26">
        <f t="shared" si="158"/>
        <v>36000</v>
      </c>
      <c r="AC334" s="26">
        <f t="shared" si="159"/>
        <v>21841</v>
      </c>
      <c r="AD334" s="33">
        <f t="shared" si="160"/>
        <v>14159</v>
      </c>
    </row>
    <row r="335" spans="1:31" ht="16.5">
      <c r="A335" s="8" t="s">
        <v>791</v>
      </c>
      <c r="B335" s="8" t="s">
        <v>792</v>
      </c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26">
        <f t="shared" si="157"/>
        <v>0</v>
      </c>
      <c r="AB335" s="26">
        <f>SUM(D335+H335+L335+P335+T335+X335)</f>
        <v>0</v>
      </c>
      <c r="AC335" s="26">
        <f>SUM(E335+I335+M335+Q335+U335+Y335)</f>
        <v>0</v>
      </c>
      <c r="AD335" s="33">
        <f t="shared" si="160"/>
        <v>0</v>
      </c>
      <c r="AE335" s="36" t="s">
        <v>793</v>
      </c>
    </row>
    <row r="336" spans="1:30" ht="16.5">
      <c r="A336" s="8" t="s">
        <v>545</v>
      </c>
      <c r="B336" s="8" t="s">
        <v>546</v>
      </c>
      <c r="C336" s="33"/>
      <c r="D336" s="33"/>
      <c r="E336" s="33"/>
      <c r="F336" s="33"/>
      <c r="G336" s="33">
        <v>30000</v>
      </c>
      <c r="H336" s="33">
        <v>30000</v>
      </c>
      <c r="I336" s="33">
        <f>476+22+322+849+150+17+84+150+17+130+43+541+590+200+9885+1385+191+490+609+1181</f>
        <v>17332</v>
      </c>
      <c r="J336" s="33">
        <f>G336-I336</f>
        <v>12668</v>
      </c>
      <c r="K336" s="33"/>
      <c r="L336" s="33"/>
      <c r="M336" s="33">
        <f>0</f>
        <v>0</v>
      </c>
      <c r="N336" s="33">
        <f>K336-M336</f>
        <v>0</v>
      </c>
      <c r="O336" s="33">
        <v>10000</v>
      </c>
      <c r="P336" s="33">
        <v>10000</v>
      </c>
      <c r="Q336" s="33"/>
      <c r="R336" s="33">
        <f>O336-Q33</f>
        <v>10000</v>
      </c>
      <c r="S336" s="33"/>
      <c r="T336" s="33"/>
      <c r="U336" s="33"/>
      <c r="V336" s="33"/>
      <c r="W336" s="33"/>
      <c r="X336" s="33"/>
      <c r="Y336" s="33"/>
      <c r="Z336" s="33"/>
      <c r="AA336" s="26">
        <f t="shared" si="157"/>
        <v>40000</v>
      </c>
      <c r="AB336" s="26">
        <f t="shared" si="158"/>
        <v>40000</v>
      </c>
      <c r="AC336" s="26">
        <f t="shared" si="159"/>
        <v>17332</v>
      </c>
      <c r="AD336" s="33">
        <f t="shared" si="160"/>
        <v>22668</v>
      </c>
    </row>
    <row r="337" spans="1:30" ht="16.5">
      <c r="A337" s="7" t="s">
        <v>547</v>
      </c>
      <c r="B337" s="7" t="s">
        <v>548</v>
      </c>
      <c r="C337" s="23">
        <f>SUM(C338+C339+C341+C344+C348+C352+C356+C357+C358)</f>
        <v>830000</v>
      </c>
      <c r="D337" s="23">
        <f aca="true" t="shared" si="161" ref="D337:AD337">SUM(D338+D339+D341+D344+D348+D352+D356+D357+D358)</f>
        <v>830000</v>
      </c>
      <c r="E337" s="23">
        <f t="shared" si="161"/>
        <v>661232</v>
      </c>
      <c r="F337" s="23"/>
      <c r="G337" s="23">
        <f t="shared" si="161"/>
        <v>1000</v>
      </c>
      <c r="H337" s="23">
        <f t="shared" si="161"/>
        <v>1000</v>
      </c>
      <c r="I337" s="23">
        <f t="shared" si="161"/>
        <v>658</v>
      </c>
      <c r="J337" s="23"/>
      <c r="K337" s="23">
        <f t="shared" si="161"/>
        <v>0</v>
      </c>
      <c r="L337" s="23">
        <f t="shared" si="161"/>
        <v>0</v>
      </c>
      <c r="M337" s="23">
        <f t="shared" si="161"/>
        <v>0</v>
      </c>
      <c r="N337" s="23"/>
      <c r="O337" s="23">
        <f t="shared" si="161"/>
        <v>0</v>
      </c>
      <c r="P337" s="23">
        <f t="shared" si="161"/>
        <v>0</v>
      </c>
      <c r="Q337" s="23">
        <f t="shared" si="161"/>
        <v>0</v>
      </c>
      <c r="R337" s="23"/>
      <c r="S337" s="23">
        <f t="shared" si="161"/>
        <v>0</v>
      </c>
      <c r="T337" s="23">
        <f t="shared" si="161"/>
        <v>0</v>
      </c>
      <c r="U337" s="23">
        <f t="shared" si="161"/>
        <v>0</v>
      </c>
      <c r="V337" s="23"/>
      <c r="W337" s="23">
        <f t="shared" si="161"/>
        <v>0</v>
      </c>
      <c r="X337" s="23">
        <f t="shared" si="161"/>
        <v>0</v>
      </c>
      <c r="Y337" s="23">
        <f t="shared" si="161"/>
        <v>0</v>
      </c>
      <c r="Z337" s="23"/>
      <c r="AA337" s="32">
        <f t="shared" si="161"/>
        <v>831000</v>
      </c>
      <c r="AB337" s="32">
        <f t="shared" si="161"/>
        <v>831000</v>
      </c>
      <c r="AC337" s="32">
        <f t="shared" si="161"/>
        <v>661890</v>
      </c>
      <c r="AD337" s="23">
        <f t="shared" si="161"/>
        <v>169110</v>
      </c>
    </row>
    <row r="338" spans="1:30" ht="16.5">
      <c r="A338" s="8" t="s">
        <v>549</v>
      </c>
      <c r="B338" s="8" t="s">
        <v>550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26">
        <f>SUM(C338+G338+K338+O338+S338+W338)</f>
        <v>0</v>
      </c>
      <c r="AB338" s="26">
        <f>SUM(D338+H338+L338+P338+T338+X338)</f>
        <v>0</v>
      </c>
      <c r="AC338" s="26">
        <f>SUM(E338+I338+Q338+U338+M338+Y338)</f>
        <v>0</v>
      </c>
      <c r="AD338" s="33"/>
    </row>
    <row r="339" spans="1:30" ht="16.5">
      <c r="A339" s="8" t="s">
        <v>551</v>
      </c>
      <c r="B339" s="8" t="s">
        <v>552</v>
      </c>
      <c r="C339" s="24">
        <f>SUM(C340)</f>
        <v>1000</v>
      </c>
      <c r="D339" s="24">
        <f aca="true" t="shared" si="162" ref="D339:AD339">SUM(D340)</f>
        <v>1000</v>
      </c>
      <c r="E339" s="24">
        <f t="shared" si="162"/>
        <v>2730</v>
      </c>
      <c r="F339" s="24"/>
      <c r="G339" s="24">
        <f t="shared" si="162"/>
        <v>0</v>
      </c>
      <c r="H339" s="24">
        <f t="shared" si="162"/>
        <v>0</v>
      </c>
      <c r="I339" s="24">
        <f t="shared" si="162"/>
        <v>0</v>
      </c>
      <c r="J339" s="24"/>
      <c r="K339" s="24">
        <f t="shared" si="162"/>
        <v>0</v>
      </c>
      <c r="L339" s="24">
        <f t="shared" si="162"/>
        <v>0</v>
      </c>
      <c r="M339" s="24">
        <f t="shared" si="162"/>
        <v>0</v>
      </c>
      <c r="N339" s="24"/>
      <c r="O339" s="24">
        <f t="shared" si="162"/>
        <v>0</v>
      </c>
      <c r="P339" s="24">
        <f t="shared" si="162"/>
        <v>0</v>
      </c>
      <c r="Q339" s="24">
        <f t="shared" si="162"/>
        <v>0</v>
      </c>
      <c r="R339" s="24"/>
      <c r="S339" s="24">
        <f t="shared" si="162"/>
        <v>0</v>
      </c>
      <c r="T339" s="24">
        <f t="shared" si="162"/>
        <v>0</v>
      </c>
      <c r="U339" s="24">
        <f t="shared" si="162"/>
        <v>0</v>
      </c>
      <c r="V339" s="24"/>
      <c r="W339" s="24">
        <f t="shared" si="162"/>
        <v>0</v>
      </c>
      <c r="X339" s="24">
        <f t="shared" si="162"/>
        <v>0</v>
      </c>
      <c r="Y339" s="24">
        <f t="shared" si="162"/>
        <v>0</v>
      </c>
      <c r="Z339" s="24"/>
      <c r="AA339" s="31">
        <f t="shared" si="162"/>
        <v>1000</v>
      </c>
      <c r="AB339" s="31">
        <f t="shared" si="162"/>
        <v>1000</v>
      </c>
      <c r="AC339" s="31">
        <f t="shared" si="162"/>
        <v>2730</v>
      </c>
      <c r="AD339" s="24">
        <f t="shared" si="162"/>
        <v>-1730</v>
      </c>
    </row>
    <row r="340" spans="1:30" ht="16.5">
      <c r="A340" s="5" t="s">
        <v>553</v>
      </c>
      <c r="B340" s="5" t="s">
        <v>554</v>
      </c>
      <c r="C340" s="25">
        <v>1000</v>
      </c>
      <c r="D340" s="25">
        <v>1000</v>
      </c>
      <c r="E340" s="25">
        <f>18+9+2602+18+83</f>
        <v>2730</v>
      </c>
      <c r="F340" s="25">
        <f>C340-E340</f>
        <v>-1730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6">
        <f>SUM(C340+G340+K340+O340+S340+W340)</f>
        <v>1000</v>
      </c>
      <c r="AB340" s="26">
        <f>SUM(D340+H340+L340+P340+T340+X340)</f>
        <v>1000</v>
      </c>
      <c r="AC340" s="26">
        <f>SUM(E340+I340+Q340+U340+M340+Y340)</f>
        <v>2730</v>
      </c>
      <c r="AD340" s="25">
        <f>AA340-AC340</f>
        <v>-1730</v>
      </c>
    </row>
    <row r="341" spans="1:30" ht="16.5">
      <c r="A341" s="8" t="s">
        <v>555</v>
      </c>
      <c r="B341" s="8" t="s">
        <v>556</v>
      </c>
      <c r="C341" s="24">
        <f>SUM(C342+C343)</f>
        <v>14000</v>
      </c>
      <c r="D341" s="24">
        <f aca="true" t="shared" si="163" ref="D341:AD341">SUM(D342+D343)</f>
        <v>14000</v>
      </c>
      <c r="E341" s="24">
        <f t="shared" si="163"/>
        <v>0</v>
      </c>
      <c r="F341" s="24"/>
      <c r="G341" s="24">
        <f t="shared" si="163"/>
        <v>0</v>
      </c>
      <c r="H341" s="24">
        <f t="shared" si="163"/>
        <v>0</v>
      </c>
      <c r="I341" s="24">
        <f t="shared" si="163"/>
        <v>0</v>
      </c>
      <c r="J341" s="24"/>
      <c r="K341" s="24">
        <f t="shared" si="163"/>
        <v>0</v>
      </c>
      <c r="L341" s="24">
        <f t="shared" si="163"/>
        <v>0</v>
      </c>
      <c r="M341" s="24">
        <f t="shared" si="163"/>
        <v>0</v>
      </c>
      <c r="N341" s="24"/>
      <c r="O341" s="24">
        <f t="shared" si="163"/>
        <v>0</v>
      </c>
      <c r="P341" s="24">
        <f t="shared" si="163"/>
        <v>0</v>
      </c>
      <c r="Q341" s="24">
        <f t="shared" si="163"/>
        <v>0</v>
      </c>
      <c r="R341" s="24"/>
      <c r="S341" s="24">
        <f t="shared" si="163"/>
        <v>0</v>
      </c>
      <c r="T341" s="24">
        <f t="shared" si="163"/>
        <v>0</v>
      </c>
      <c r="U341" s="24">
        <f t="shared" si="163"/>
        <v>0</v>
      </c>
      <c r="V341" s="24"/>
      <c r="W341" s="24">
        <f t="shared" si="163"/>
        <v>0</v>
      </c>
      <c r="X341" s="24">
        <f t="shared" si="163"/>
        <v>0</v>
      </c>
      <c r="Y341" s="24">
        <f t="shared" si="163"/>
        <v>0</v>
      </c>
      <c r="Z341" s="24"/>
      <c r="AA341" s="31">
        <f t="shared" si="163"/>
        <v>14000</v>
      </c>
      <c r="AB341" s="31">
        <f t="shared" si="163"/>
        <v>14000</v>
      </c>
      <c r="AC341" s="31">
        <f t="shared" si="163"/>
        <v>0</v>
      </c>
      <c r="AD341" s="24">
        <f t="shared" si="163"/>
        <v>14000</v>
      </c>
    </row>
    <row r="342" spans="1:30" ht="16.5">
      <c r="A342" s="5" t="s">
        <v>557</v>
      </c>
      <c r="B342" s="5" t="s">
        <v>558</v>
      </c>
      <c r="C342" s="25">
        <v>6000</v>
      </c>
      <c r="D342" s="25">
        <v>6000</v>
      </c>
      <c r="E342" s="25"/>
      <c r="F342" s="25">
        <f>C342-E342</f>
        <v>6000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6">
        <f>SUM(C342+G342+K342+O342+S342+W342)</f>
        <v>6000</v>
      </c>
      <c r="AB342" s="26">
        <f>SUM(D342+H342+L342+P342+T342+X342)</f>
        <v>6000</v>
      </c>
      <c r="AC342" s="26">
        <f>SUM(E342+I342+Q342+U342+M342+Y342)</f>
        <v>0</v>
      </c>
      <c r="AD342" s="25">
        <f>AA342-AC342</f>
        <v>6000</v>
      </c>
    </row>
    <row r="343" spans="1:30" ht="16.5">
      <c r="A343" s="5" t="s">
        <v>559</v>
      </c>
      <c r="B343" s="5" t="s">
        <v>560</v>
      </c>
      <c r="C343" s="25">
        <v>8000</v>
      </c>
      <c r="D343" s="25">
        <v>8000</v>
      </c>
      <c r="E343" s="25"/>
      <c r="F343" s="25">
        <f>C343-E343</f>
        <v>8000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6">
        <f>SUM(C343+G343+K343+O343+S343+W343)</f>
        <v>8000</v>
      </c>
      <c r="AB343" s="26">
        <f>SUM(D343+H343+L343+P343+T343+X343)</f>
        <v>8000</v>
      </c>
      <c r="AC343" s="26">
        <f>SUM(E343+I343+Q343+U343+M343+Y343)</f>
        <v>0</v>
      </c>
      <c r="AD343" s="25">
        <f>AA343-AC343</f>
        <v>8000</v>
      </c>
    </row>
    <row r="344" spans="1:30" ht="16.5">
      <c r="A344" s="8" t="s">
        <v>561</v>
      </c>
      <c r="B344" s="8" t="s">
        <v>562</v>
      </c>
      <c r="C344" s="24">
        <f>SUM(C345+C346+C347)</f>
        <v>173000</v>
      </c>
      <c r="D344" s="24">
        <f aca="true" t="shared" si="164" ref="D344:AD344">SUM(D345+D346+D347)</f>
        <v>173000</v>
      </c>
      <c r="E344" s="24">
        <f t="shared" si="164"/>
        <v>126866</v>
      </c>
      <c r="F344" s="24"/>
      <c r="G344" s="24">
        <f t="shared" si="164"/>
        <v>0</v>
      </c>
      <c r="H344" s="24">
        <f t="shared" si="164"/>
        <v>0</v>
      </c>
      <c r="I344" s="24">
        <f t="shared" si="164"/>
        <v>0</v>
      </c>
      <c r="J344" s="24"/>
      <c r="K344" s="24">
        <f t="shared" si="164"/>
        <v>0</v>
      </c>
      <c r="L344" s="24">
        <f t="shared" si="164"/>
        <v>0</v>
      </c>
      <c r="M344" s="24">
        <f t="shared" si="164"/>
        <v>0</v>
      </c>
      <c r="N344" s="24"/>
      <c r="O344" s="24">
        <f t="shared" si="164"/>
        <v>0</v>
      </c>
      <c r="P344" s="24">
        <f t="shared" si="164"/>
        <v>0</v>
      </c>
      <c r="Q344" s="24">
        <f t="shared" si="164"/>
        <v>0</v>
      </c>
      <c r="R344" s="24"/>
      <c r="S344" s="24">
        <f t="shared" si="164"/>
        <v>0</v>
      </c>
      <c r="T344" s="24">
        <f t="shared" si="164"/>
        <v>0</v>
      </c>
      <c r="U344" s="24">
        <f t="shared" si="164"/>
        <v>0</v>
      </c>
      <c r="V344" s="24"/>
      <c r="W344" s="24">
        <f t="shared" si="164"/>
        <v>0</v>
      </c>
      <c r="X344" s="24">
        <f t="shared" si="164"/>
        <v>0</v>
      </c>
      <c r="Y344" s="24">
        <f t="shared" si="164"/>
        <v>0</v>
      </c>
      <c r="Z344" s="24"/>
      <c r="AA344" s="31">
        <f t="shared" si="164"/>
        <v>173000</v>
      </c>
      <c r="AB344" s="31">
        <f t="shared" si="164"/>
        <v>173000</v>
      </c>
      <c r="AC344" s="31">
        <f t="shared" si="164"/>
        <v>126866</v>
      </c>
      <c r="AD344" s="24">
        <f t="shared" si="164"/>
        <v>46134</v>
      </c>
    </row>
    <row r="345" spans="1:30" ht="16.5">
      <c r="A345" s="5" t="s">
        <v>563</v>
      </c>
      <c r="B345" s="5" t="s">
        <v>564</v>
      </c>
      <c r="C345" s="25">
        <v>173000</v>
      </c>
      <c r="D345" s="25">
        <v>173000</v>
      </c>
      <c r="E345" s="25">
        <f>413+1172+1547+119867+2986+881</f>
        <v>126866</v>
      </c>
      <c r="F345" s="25">
        <f>C345-E345</f>
        <v>46134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6">
        <f aca="true" t="shared" si="165" ref="AA345:AB347">SUM(C345+G345+K345+O345+S345+W345)</f>
        <v>173000</v>
      </c>
      <c r="AB345" s="26">
        <f t="shared" si="165"/>
        <v>173000</v>
      </c>
      <c r="AC345" s="26">
        <f>SUM(E345+I345+Q345+U345+M345+Y345)</f>
        <v>126866</v>
      </c>
      <c r="AD345" s="25">
        <f>AA345-AC345</f>
        <v>46134</v>
      </c>
    </row>
    <row r="346" spans="1:30" ht="16.5">
      <c r="A346" s="5" t="s">
        <v>565</v>
      </c>
      <c r="B346" s="5" t="s">
        <v>566</v>
      </c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6">
        <f t="shared" si="165"/>
        <v>0</v>
      </c>
      <c r="AB346" s="26">
        <f t="shared" si="165"/>
        <v>0</v>
      </c>
      <c r="AC346" s="26">
        <f>SUM(E346+I346+Q346+U346+M346+Y346)</f>
        <v>0</v>
      </c>
      <c r="AD346" s="25">
        <f>AA346-AC346</f>
        <v>0</v>
      </c>
    </row>
    <row r="347" spans="1:30" ht="16.5">
      <c r="A347" s="5" t="s">
        <v>567</v>
      </c>
      <c r="B347" s="5" t="s">
        <v>568</v>
      </c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6">
        <f t="shared" si="165"/>
        <v>0</v>
      </c>
      <c r="AB347" s="26">
        <f t="shared" si="165"/>
        <v>0</v>
      </c>
      <c r="AC347" s="26">
        <f>SUM(E347+I347+Q347+U347+M347+Y347)</f>
        <v>0</v>
      </c>
      <c r="AD347" s="25">
        <f>AA347-AC347</f>
        <v>0</v>
      </c>
    </row>
    <row r="348" spans="1:30" ht="16.5">
      <c r="A348" s="8" t="s">
        <v>569</v>
      </c>
      <c r="B348" s="8" t="s">
        <v>570</v>
      </c>
      <c r="C348" s="24">
        <f>SUM(C349+C350+C351)</f>
        <v>0</v>
      </c>
      <c r="D348" s="24">
        <f aca="true" t="shared" si="166" ref="D348:AD348">SUM(D349+D350+D351)</f>
        <v>0</v>
      </c>
      <c r="E348" s="24">
        <f t="shared" si="166"/>
        <v>0</v>
      </c>
      <c r="F348" s="24"/>
      <c r="G348" s="24">
        <f t="shared" si="166"/>
        <v>0</v>
      </c>
      <c r="H348" s="24">
        <f t="shared" si="166"/>
        <v>0</v>
      </c>
      <c r="I348" s="24">
        <f t="shared" si="166"/>
        <v>0</v>
      </c>
      <c r="J348" s="24"/>
      <c r="K348" s="24">
        <f t="shared" si="166"/>
        <v>0</v>
      </c>
      <c r="L348" s="24">
        <f t="shared" si="166"/>
        <v>0</v>
      </c>
      <c r="M348" s="24">
        <f t="shared" si="166"/>
        <v>0</v>
      </c>
      <c r="N348" s="24"/>
      <c r="O348" s="24">
        <f t="shared" si="166"/>
        <v>0</v>
      </c>
      <c r="P348" s="24">
        <f t="shared" si="166"/>
        <v>0</v>
      </c>
      <c r="Q348" s="24">
        <f t="shared" si="166"/>
        <v>0</v>
      </c>
      <c r="R348" s="24"/>
      <c r="S348" s="24">
        <f t="shared" si="166"/>
        <v>0</v>
      </c>
      <c r="T348" s="24">
        <f t="shared" si="166"/>
        <v>0</v>
      </c>
      <c r="U348" s="24">
        <f t="shared" si="166"/>
        <v>0</v>
      </c>
      <c r="V348" s="24"/>
      <c r="W348" s="24">
        <f t="shared" si="166"/>
        <v>0</v>
      </c>
      <c r="X348" s="24">
        <f t="shared" si="166"/>
        <v>0</v>
      </c>
      <c r="Y348" s="24">
        <f t="shared" si="166"/>
        <v>0</v>
      </c>
      <c r="Z348" s="24"/>
      <c r="AA348" s="31">
        <f t="shared" si="166"/>
        <v>0</v>
      </c>
      <c r="AB348" s="31">
        <f t="shared" si="166"/>
        <v>0</v>
      </c>
      <c r="AC348" s="31">
        <f t="shared" si="166"/>
        <v>0</v>
      </c>
      <c r="AD348" s="24">
        <f t="shared" si="166"/>
        <v>0</v>
      </c>
    </row>
    <row r="349" spans="1:30" ht="16.5">
      <c r="A349" s="5" t="s">
        <v>571</v>
      </c>
      <c r="B349" s="5" t="s">
        <v>564</v>
      </c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6">
        <f aca="true" t="shared" si="167" ref="AA349:AB351">SUM(C349+G349+K349+O349+S349+W349)</f>
        <v>0</v>
      </c>
      <c r="AB349" s="26">
        <f t="shared" si="167"/>
        <v>0</v>
      </c>
      <c r="AC349" s="26">
        <f>SUM(E349+I349+Q349+U349+M349+Y349)</f>
        <v>0</v>
      </c>
      <c r="AD349" s="25"/>
    </row>
    <row r="350" spans="1:30" ht="16.5">
      <c r="A350" s="5" t="s">
        <v>572</v>
      </c>
      <c r="B350" s="5" t="s">
        <v>566</v>
      </c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6">
        <f t="shared" si="167"/>
        <v>0</v>
      </c>
      <c r="AB350" s="26">
        <f t="shared" si="167"/>
        <v>0</v>
      </c>
      <c r="AC350" s="26">
        <f>SUM(E350+I350+Q350+U350+M350+Y350)</f>
        <v>0</v>
      </c>
      <c r="AD350" s="25"/>
    </row>
    <row r="351" spans="1:30" ht="16.5">
      <c r="A351" s="5" t="s">
        <v>573</v>
      </c>
      <c r="B351" s="5" t="s">
        <v>568</v>
      </c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6">
        <f t="shared" si="167"/>
        <v>0</v>
      </c>
      <c r="AB351" s="26">
        <f t="shared" si="167"/>
        <v>0</v>
      </c>
      <c r="AC351" s="26">
        <f>SUM(E351+I351+Q351+U351+M351+Y351)</f>
        <v>0</v>
      </c>
      <c r="AD351" s="25"/>
    </row>
    <row r="352" spans="1:30" ht="16.5">
      <c r="A352" s="8" t="s">
        <v>574</v>
      </c>
      <c r="B352" s="8" t="s">
        <v>575</v>
      </c>
      <c r="C352" s="24">
        <f>SUM(C353+C354+C355)</f>
        <v>0</v>
      </c>
      <c r="D352" s="24">
        <f aca="true" t="shared" si="168" ref="D352:Y352">SUM(D353+D354+D355)</f>
        <v>0</v>
      </c>
      <c r="E352" s="24">
        <f t="shared" si="168"/>
        <v>0</v>
      </c>
      <c r="F352" s="24"/>
      <c r="G352" s="24">
        <f t="shared" si="168"/>
        <v>0</v>
      </c>
      <c r="H352" s="24">
        <f t="shared" si="168"/>
        <v>0</v>
      </c>
      <c r="I352" s="24">
        <f t="shared" si="168"/>
        <v>0</v>
      </c>
      <c r="J352" s="24"/>
      <c r="K352" s="24">
        <f t="shared" si="168"/>
        <v>0</v>
      </c>
      <c r="L352" s="24">
        <f t="shared" si="168"/>
        <v>0</v>
      </c>
      <c r="M352" s="24">
        <f t="shared" si="168"/>
        <v>0</v>
      </c>
      <c r="N352" s="24"/>
      <c r="O352" s="24">
        <f t="shared" si="168"/>
        <v>0</v>
      </c>
      <c r="P352" s="24">
        <f t="shared" si="168"/>
        <v>0</v>
      </c>
      <c r="Q352" s="24">
        <f t="shared" si="168"/>
        <v>0</v>
      </c>
      <c r="R352" s="24"/>
      <c r="S352" s="24">
        <f t="shared" si="168"/>
        <v>0</v>
      </c>
      <c r="T352" s="24">
        <f t="shared" si="168"/>
        <v>0</v>
      </c>
      <c r="U352" s="24">
        <f t="shared" si="168"/>
        <v>0</v>
      </c>
      <c r="V352" s="24"/>
      <c r="W352" s="24">
        <f t="shared" si="168"/>
        <v>0</v>
      </c>
      <c r="X352" s="24">
        <f t="shared" si="168"/>
        <v>0</v>
      </c>
      <c r="Y352" s="24">
        <f t="shared" si="168"/>
        <v>0</v>
      </c>
      <c r="Z352" s="24"/>
      <c r="AA352" s="24">
        <f>SUM(AA353+AA354+AA355)</f>
        <v>0</v>
      </c>
      <c r="AB352" s="24">
        <f>SUM(AB353+AB354+AB355)</f>
        <v>0</v>
      </c>
      <c r="AC352" s="24">
        <f>SUM(AC353+AC354+AC355)</f>
        <v>0</v>
      </c>
      <c r="AD352" s="24">
        <f>SUM(AD353+AD354+AD355)</f>
        <v>0</v>
      </c>
    </row>
    <row r="353" spans="1:31" ht="16.5">
      <c r="A353" s="5" t="s">
        <v>576</v>
      </c>
      <c r="B353" s="38" t="s">
        <v>803</v>
      </c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6">
        <f aca="true" t="shared" si="169" ref="AA353:AB357">SUM(C353+G353+K353+O353+S353+W353)</f>
        <v>0</v>
      </c>
      <c r="AB353" s="26">
        <f t="shared" si="169"/>
        <v>0</v>
      </c>
      <c r="AC353" s="26">
        <f>SUM(E353+I353+Q353+U353+M353+Y353)</f>
        <v>0</v>
      </c>
      <c r="AD353" s="25">
        <f>AA353-AC353</f>
        <v>0</v>
      </c>
      <c r="AE353" s="39" t="s">
        <v>802</v>
      </c>
    </row>
    <row r="354" spans="1:31" ht="16.5">
      <c r="A354" s="38" t="s">
        <v>804</v>
      </c>
      <c r="B354" s="38" t="s">
        <v>805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26">
        <f t="shared" si="169"/>
        <v>0</v>
      </c>
      <c r="AB354" s="26">
        <f t="shared" si="169"/>
        <v>0</v>
      </c>
      <c r="AC354" s="26">
        <f>SUM(E354+I354+Q354+U354+M354+Y354)</f>
        <v>0</v>
      </c>
      <c r="AD354" s="25">
        <f>AA354-AC354</f>
        <v>0</v>
      </c>
      <c r="AE354" s="39" t="s">
        <v>806</v>
      </c>
    </row>
    <row r="355" spans="1:31" ht="16.5">
      <c r="A355" s="38" t="s">
        <v>807</v>
      </c>
      <c r="B355" s="38" t="s">
        <v>808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26">
        <f t="shared" si="169"/>
        <v>0</v>
      </c>
      <c r="AB355" s="26">
        <f t="shared" si="169"/>
        <v>0</v>
      </c>
      <c r="AC355" s="26">
        <f>SUM(E355+I355+Q355+U355+M355+Y355)</f>
        <v>0</v>
      </c>
      <c r="AD355" s="25">
        <f>AA355-AC355</f>
        <v>0</v>
      </c>
      <c r="AE355" s="39" t="s">
        <v>806</v>
      </c>
    </row>
    <row r="356" spans="1:30" ht="16.5">
      <c r="A356" s="8" t="s">
        <v>578</v>
      </c>
      <c r="B356" s="8" t="s">
        <v>579</v>
      </c>
      <c r="C356" s="33"/>
      <c r="D356" s="33"/>
      <c r="E356" s="33"/>
      <c r="F356" s="33"/>
      <c r="G356" s="33">
        <v>1000</v>
      </c>
      <c r="H356" s="33">
        <v>1000</v>
      </c>
      <c r="I356" s="33">
        <f>373+285</f>
        <v>658</v>
      </c>
      <c r="J356" s="33">
        <f>G356-I356</f>
        <v>342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26">
        <f t="shared" si="169"/>
        <v>1000</v>
      </c>
      <c r="AB356" s="26">
        <f t="shared" si="169"/>
        <v>1000</v>
      </c>
      <c r="AC356" s="26">
        <f>SUM(E356+I356+Q356+U356+M356+Y356)</f>
        <v>658</v>
      </c>
      <c r="AD356" s="25">
        <f>AA356-AC356</f>
        <v>342</v>
      </c>
    </row>
    <row r="357" spans="1:30" ht="16.5">
      <c r="A357" s="8" t="s">
        <v>580</v>
      </c>
      <c r="B357" s="8" t="s">
        <v>581</v>
      </c>
      <c r="C357" s="33">
        <v>1000</v>
      </c>
      <c r="D357" s="33">
        <v>1000</v>
      </c>
      <c r="E357" s="33"/>
      <c r="F357" s="33">
        <f>C357-E357</f>
        <v>1000</v>
      </c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26">
        <f t="shared" si="169"/>
        <v>1000</v>
      </c>
      <c r="AB357" s="26">
        <f t="shared" si="169"/>
        <v>1000</v>
      </c>
      <c r="AC357" s="26">
        <f>SUM(E357+I357+Q357+U357+M357+Y357)</f>
        <v>0</v>
      </c>
      <c r="AD357" s="25">
        <f>AA357-AC357</f>
        <v>1000</v>
      </c>
    </row>
    <row r="358" spans="1:30" ht="16.5">
      <c r="A358" s="8" t="s">
        <v>582</v>
      </c>
      <c r="B358" s="8" t="s">
        <v>583</v>
      </c>
      <c r="C358" s="24">
        <f>SUM(C359+C360+C361)</f>
        <v>641000</v>
      </c>
      <c r="D358" s="24">
        <f aca="true" t="shared" si="170" ref="D358:AD358">SUM(D359+D360+D361)</f>
        <v>641000</v>
      </c>
      <c r="E358" s="24">
        <f t="shared" si="170"/>
        <v>531636</v>
      </c>
      <c r="F358" s="24"/>
      <c r="G358" s="24">
        <f t="shared" si="170"/>
        <v>0</v>
      </c>
      <c r="H358" s="24">
        <f t="shared" si="170"/>
        <v>0</v>
      </c>
      <c r="I358" s="24">
        <f t="shared" si="170"/>
        <v>0</v>
      </c>
      <c r="J358" s="24"/>
      <c r="K358" s="24">
        <f t="shared" si="170"/>
        <v>0</v>
      </c>
      <c r="L358" s="24">
        <f t="shared" si="170"/>
        <v>0</v>
      </c>
      <c r="M358" s="24">
        <f t="shared" si="170"/>
        <v>0</v>
      </c>
      <c r="N358" s="24"/>
      <c r="O358" s="24">
        <f t="shared" si="170"/>
        <v>0</v>
      </c>
      <c r="P358" s="24">
        <f t="shared" si="170"/>
        <v>0</v>
      </c>
      <c r="Q358" s="24">
        <f t="shared" si="170"/>
        <v>0</v>
      </c>
      <c r="R358" s="24"/>
      <c r="S358" s="24">
        <f t="shared" si="170"/>
        <v>0</v>
      </c>
      <c r="T358" s="24">
        <f t="shared" si="170"/>
        <v>0</v>
      </c>
      <c r="U358" s="24">
        <f t="shared" si="170"/>
        <v>0</v>
      </c>
      <c r="V358" s="24"/>
      <c r="W358" s="24">
        <f t="shared" si="170"/>
        <v>0</v>
      </c>
      <c r="X358" s="24">
        <f t="shared" si="170"/>
        <v>0</v>
      </c>
      <c r="Y358" s="24">
        <f t="shared" si="170"/>
        <v>0</v>
      </c>
      <c r="Z358" s="24"/>
      <c r="AA358" s="31">
        <f>SUM(AA359+AA360+AA361)</f>
        <v>641000</v>
      </c>
      <c r="AB358" s="31">
        <f t="shared" si="170"/>
        <v>641000</v>
      </c>
      <c r="AC358" s="31">
        <f t="shared" si="170"/>
        <v>531636</v>
      </c>
      <c r="AD358" s="24">
        <f t="shared" si="170"/>
        <v>109364</v>
      </c>
    </row>
    <row r="359" spans="1:30" ht="16.5">
      <c r="A359" s="5" t="s">
        <v>584</v>
      </c>
      <c r="B359" s="5" t="s">
        <v>585</v>
      </c>
      <c r="C359" s="25">
        <v>455000</v>
      </c>
      <c r="D359" s="25">
        <v>455000</v>
      </c>
      <c r="E359" s="25">
        <f>22083+266896+42318+33453+21938+20604+5700+33808</f>
        <v>446800</v>
      </c>
      <c r="F359" s="25">
        <f>C359-E359</f>
        <v>8200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6">
        <f aca="true" t="shared" si="171" ref="AA359:AA364">SUM(C359+G359+K359+O359+S359+W359)</f>
        <v>455000</v>
      </c>
      <c r="AB359" s="26">
        <f aca="true" t="shared" si="172" ref="AB359:AB364">SUM(D359+H359+L359+P359+T359+X359)</f>
        <v>455000</v>
      </c>
      <c r="AC359" s="26">
        <f aca="true" t="shared" si="173" ref="AC359:AC364">SUM(E359+I359+Q359+U359+M359+Y359)</f>
        <v>446800</v>
      </c>
      <c r="AD359" s="25">
        <f aca="true" t="shared" si="174" ref="AD359:AD364">AA359-AC359</f>
        <v>8200</v>
      </c>
    </row>
    <row r="360" spans="1:30" ht="16.5">
      <c r="A360" s="5" t="s">
        <v>586</v>
      </c>
      <c r="B360" s="5" t="s">
        <v>587</v>
      </c>
      <c r="C360" s="25">
        <v>186000</v>
      </c>
      <c r="D360" s="25">
        <v>186000</v>
      </c>
      <c r="E360" s="25">
        <f>23701+39388+17137+4610</f>
        <v>84836</v>
      </c>
      <c r="F360" s="25">
        <f>C360-E360</f>
        <v>101164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6">
        <f t="shared" si="171"/>
        <v>186000</v>
      </c>
      <c r="AB360" s="26">
        <f t="shared" si="172"/>
        <v>186000</v>
      </c>
      <c r="AC360" s="26">
        <f t="shared" si="173"/>
        <v>84836</v>
      </c>
      <c r="AD360" s="25">
        <f t="shared" si="174"/>
        <v>101164</v>
      </c>
    </row>
    <row r="361" spans="1:30" ht="16.5">
      <c r="A361" s="5" t="s">
        <v>588</v>
      </c>
      <c r="B361" s="5" t="s">
        <v>589</v>
      </c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6">
        <f t="shared" si="171"/>
        <v>0</v>
      </c>
      <c r="AB361" s="26">
        <f t="shared" si="172"/>
        <v>0</v>
      </c>
      <c r="AC361" s="26">
        <f t="shared" si="173"/>
        <v>0</v>
      </c>
      <c r="AD361" s="25">
        <f t="shared" si="174"/>
        <v>0</v>
      </c>
    </row>
    <row r="362" spans="1:30" ht="16.5">
      <c r="A362" s="7" t="s">
        <v>590</v>
      </c>
      <c r="B362" s="7" t="s">
        <v>591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26">
        <f t="shared" si="171"/>
        <v>0</v>
      </c>
      <c r="AB362" s="26">
        <f t="shared" si="172"/>
        <v>0</v>
      </c>
      <c r="AC362" s="26">
        <f t="shared" si="173"/>
        <v>0</v>
      </c>
      <c r="AD362" s="25">
        <f t="shared" si="174"/>
        <v>0</v>
      </c>
    </row>
    <row r="363" spans="1:30" ht="16.5">
      <c r="A363" s="7" t="s">
        <v>592</v>
      </c>
      <c r="B363" s="7" t="s">
        <v>593</v>
      </c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26">
        <f t="shared" si="171"/>
        <v>0</v>
      </c>
      <c r="AB363" s="26">
        <f t="shared" si="172"/>
        <v>0</v>
      </c>
      <c r="AC363" s="26">
        <f t="shared" si="173"/>
        <v>0</v>
      </c>
      <c r="AD363" s="25">
        <f t="shared" si="174"/>
        <v>0</v>
      </c>
    </row>
    <row r="364" spans="1:30" ht="16.5">
      <c r="A364" s="7" t="s">
        <v>594</v>
      </c>
      <c r="B364" s="7" t="s">
        <v>595</v>
      </c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26">
        <f t="shared" si="171"/>
        <v>0</v>
      </c>
      <c r="AB364" s="26">
        <f t="shared" si="172"/>
        <v>0</v>
      </c>
      <c r="AC364" s="26">
        <f t="shared" si="173"/>
        <v>0</v>
      </c>
      <c r="AD364" s="25">
        <f t="shared" si="174"/>
        <v>0</v>
      </c>
    </row>
    <row r="365" spans="1:30" ht="16.5">
      <c r="A365" s="7" t="s">
        <v>596</v>
      </c>
      <c r="B365" s="7" t="s">
        <v>597</v>
      </c>
      <c r="C365" s="32">
        <f>C366+C367</f>
        <v>0</v>
      </c>
      <c r="D365" s="32">
        <f aca="true" t="shared" si="175" ref="D365:Y365">D366+D367</f>
        <v>0</v>
      </c>
      <c r="E365" s="32">
        <f t="shared" si="175"/>
        <v>0</v>
      </c>
      <c r="F365" s="32"/>
      <c r="G365" s="32">
        <f t="shared" si="175"/>
        <v>0</v>
      </c>
      <c r="H365" s="32">
        <f t="shared" si="175"/>
        <v>0</v>
      </c>
      <c r="I365" s="32">
        <f t="shared" si="175"/>
        <v>0</v>
      </c>
      <c r="J365" s="32"/>
      <c r="K365" s="32">
        <f t="shared" si="175"/>
        <v>0</v>
      </c>
      <c r="L365" s="32">
        <f t="shared" si="175"/>
        <v>0</v>
      </c>
      <c r="M365" s="32">
        <f t="shared" si="175"/>
        <v>0</v>
      </c>
      <c r="N365" s="32"/>
      <c r="O365" s="32">
        <f t="shared" si="175"/>
        <v>0</v>
      </c>
      <c r="P365" s="32">
        <f t="shared" si="175"/>
        <v>0</v>
      </c>
      <c r="Q365" s="32">
        <f t="shared" si="175"/>
        <v>0</v>
      </c>
      <c r="R365" s="32"/>
      <c r="S365" s="32">
        <f t="shared" si="175"/>
        <v>0</v>
      </c>
      <c r="T365" s="32">
        <f t="shared" si="175"/>
        <v>0</v>
      </c>
      <c r="U365" s="32">
        <f t="shared" si="175"/>
        <v>0</v>
      </c>
      <c r="V365" s="32"/>
      <c r="W365" s="32">
        <f t="shared" si="175"/>
        <v>0</v>
      </c>
      <c r="X365" s="32">
        <f t="shared" si="175"/>
        <v>0</v>
      </c>
      <c r="Y365" s="32">
        <f t="shared" si="175"/>
        <v>0</v>
      </c>
      <c r="Z365" s="32"/>
      <c r="AA365" s="32">
        <f>AA366+AA367</f>
        <v>0</v>
      </c>
      <c r="AB365" s="32">
        <f>AB366+AB367</f>
        <v>0</v>
      </c>
      <c r="AC365" s="32">
        <f>AC366+AC367</f>
        <v>0</v>
      </c>
      <c r="AD365" s="32">
        <f>AD366+AD367</f>
        <v>0</v>
      </c>
    </row>
    <row r="366" spans="1:30" ht="16.5">
      <c r="A366" s="8" t="s">
        <v>783</v>
      </c>
      <c r="B366" s="8" t="s">
        <v>784</v>
      </c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26">
        <f>SUM(C366+G366+K366+O366+S366+W366)</f>
        <v>0</v>
      </c>
      <c r="AB366" s="26">
        <f>SUM(D366+H366+L366+P366+T366+X366)</f>
        <v>0</v>
      </c>
      <c r="AC366" s="26">
        <f>SUM(E366+I366+Q366+U366+M366+Y366)</f>
        <v>0</v>
      </c>
      <c r="AD366" s="33"/>
    </row>
    <row r="367" spans="1:31" ht="16.5">
      <c r="A367" s="8" t="s">
        <v>794</v>
      </c>
      <c r="B367" s="8" t="s">
        <v>795</v>
      </c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26">
        <f>SUM(C367+G367+K367+O367+S367+W367)</f>
        <v>0</v>
      </c>
      <c r="AB367" s="26">
        <f>SUM(D367+H367+L367+P367+T367+X367)</f>
        <v>0</v>
      </c>
      <c r="AC367" s="26">
        <f>SUM(E367+I367+M367+Q367+U367+Y367)</f>
        <v>0</v>
      </c>
      <c r="AD367" s="33"/>
      <c r="AE367" s="36" t="s">
        <v>793</v>
      </c>
    </row>
    <row r="368" spans="1:30" ht="16.5">
      <c r="A368" s="6" t="s">
        <v>598</v>
      </c>
      <c r="B368" s="6" t="s">
        <v>599</v>
      </c>
      <c r="C368" s="22">
        <f>SUM(C369)</f>
        <v>0</v>
      </c>
      <c r="D368" s="22">
        <f aca="true" t="shared" si="176" ref="D368:AD368">SUM(D369)</f>
        <v>0</v>
      </c>
      <c r="E368" s="22">
        <f t="shared" si="176"/>
        <v>0</v>
      </c>
      <c r="F368" s="22"/>
      <c r="G368" s="22">
        <f t="shared" si="176"/>
        <v>0</v>
      </c>
      <c r="H368" s="22">
        <f t="shared" si="176"/>
        <v>0</v>
      </c>
      <c r="I368" s="22">
        <f t="shared" si="176"/>
        <v>0</v>
      </c>
      <c r="J368" s="22"/>
      <c r="K368" s="22">
        <f t="shared" si="176"/>
        <v>0</v>
      </c>
      <c r="L368" s="22">
        <f t="shared" si="176"/>
        <v>0</v>
      </c>
      <c r="M368" s="22">
        <f t="shared" si="176"/>
        <v>0</v>
      </c>
      <c r="N368" s="22"/>
      <c r="O368" s="22">
        <f t="shared" si="176"/>
        <v>0</v>
      </c>
      <c r="P368" s="22">
        <f t="shared" si="176"/>
        <v>0</v>
      </c>
      <c r="Q368" s="22">
        <f t="shared" si="176"/>
        <v>0</v>
      </c>
      <c r="R368" s="22"/>
      <c r="S368" s="22">
        <f t="shared" si="176"/>
        <v>0</v>
      </c>
      <c r="T368" s="22">
        <f t="shared" si="176"/>
        <v>0</v>
      </c>
      <c r="U368" s="22">
        <f t="shared" si="176"/>
        <v>0</v>
      </c>
      <c r="V368" s="22"/>
      <c r="W368" s="22">
        <f t="shared" si="176"/>
        <v>0</v>
      </c>
      <c r="X368" s="22">
        <f t="shared" si="176"/>
        <v>0</v>
      </c>
      <c r="Y368" s="22">
        <f t="shared" si="176"/>
        <v>0</v>
      </c>
      <c r="Z368" s="22"/>
      <c r="AA368" s="34">
        <f t="shared" si="176"/>
        <v>0</v>
      </c>
      <c r="AB368" s="34">
        <f t="shared" si="176"/>
        <v>0</v>
      </c>
      <c r="AC368" s="34">
        <f t="shared" si="176"/>
        <v>0</v>
      </c>
      <c r="AD368" s="22">
        <f t="shared" si="176"/>
        <v>0</v>
      </c>
    </row>
    <row r="369" spans="1:30" ht="16.5">
      <c r="A369" s="7" t="s">
        <v>600</v>
      </c>
      <c r="B369" s="7" t="s">
        <v>601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26">
        <f>SUM(C369+G369+K369+O369+S369+W369)</f>
        <v>0</v>
      </c>
      <c r="AB369" s="26">
        <f>SUM(D369+H369+L369+P369+T369+X369)</f>
        <v>0</v>
      </c>
      <c r="AC369" s="26">
        <f>SUM(E369+I369+Q369+U369+M369+Y369)</f>
        <v>0</v>
      </c>
      <c r="AD369" s="33"/>
    </row>
    <row r="370" spans="1:30" ht="16.5">
      <c r="A370" s="6" t="s">
        <v>602</v>
      </c>
      <c r="B370" s="6" t="s">
        <v>603</v>
      </c>
      <c r="C370" s="22">
        <f>SUM(C371+C372+C373)</f>
        <v>3000</v>
      </c>
      <c r="D370" s="22">
        <f aca="true" t="shared" si="177" ref="D370:AD370">SUM(D371+D372+D373)</f>
        <v>3000</v>
      </c>
      <c r="E370" s="22">
        <f t="shared" si="177"/>
        <v>155</v>
      </c>
      <c r="F370" s="22"/>
      <c r="G370" s="22">
        <f t="shared" si="177"/>
        <v>0</v>
      </c>
      <c r="H370" s="22">
        <f t="shared" si="177"/>
        <v>0</v>
      </c>
      <c r="I370" s="22">
        <f t="shared" si="177"/>
        <v>0</v>
      </c>
      <c r="J370" s="22"/>
      <c r="K370" s="22">
        <f t="shared" si="177"/>
        <v>0</v>
      </c>
      <c r="L370" s="22">
        <f t="shared" si="177"/>
        <v>0</v>
      </c>
      <c r="M370" s="22">
        <f t="shared" si="177"/>
        <v>0</v>
      </c>
      <c r="N370" s="22"/>
      <c r="O370" s="22">
        <f t="shared" si="177"/>
        <v>0</v>
      </c>
      <c r="P370" s="22">
        <f t="shared" si="177"/>
        <v>0</v>
      </c>
      <c r="Q370" s="22">
        <f t="shared" si="177"/>
        <v>0</v>
      </c>
      <c r="R370" s="22"/>
      <c r="S370" s="22">
        <f t="shared" si="177"/>
        <v>0</v>
      </c>
      <c r="T370" s="22">
        <f t="shared" si="177"/>
        <v>0</v>
      </c>
      <c r="U370" s="22">
        <f t="shared" si="177"/>
        <v>0</v>
      </c>
      <c r="V370" s="22"/>
      <c r="W370" s="22">
        <f t="shared" si="177"/>
        <v>0</v>
      </c>
      <c r="X370" s="22">
        <f t="shared" si="177"/>
        <v>0</v>
      </c>
      <c r="Y370" s="22">
        <f t="shared" si="177"/>
        <v>0</v>
      </c>
      <c r="Z370" s="22"/>
      <c r="AA370" s="34">
        <f t="shared" si="177"/>
        <v>3000</v>
      </c>
      <c r="AB370" s="34">
        <f t="shared" si="177"/>
        <v>3000</v>
      </c>
      <c r="AC370" s="34">
        <f t="shared" si="177"/>
        <v>155</v>
      </c>
      <c r="AD370" s="22">
        <f t="shared" si="177"/>
        <v>2845</v>
      </c>
    </row>
    <row r="371" spans="1:30" ht="16.5">
      <c r="A371" s="7" t="s">
        <v>604</v>
      </c>
      <c r="B371" s="7" t="s">
        <v>605</v>
      </c>
      <c r="C371" s="33">
        <v>1000</v>
      </c>
      <c r="D371" s="33">
        <v>1000</v>
      </c>
      <c r="E371" s="33">
        <f>155</f>
        <v>155</v>
      </c>
      <c r="F371" s="33">
        <f>C371-E371</f>
        <v>845</v>
      </c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26">
        <f>SUM(C371+G371+K371+O371+S371+W371)</f>
        <v>1000</v>
      </c>
      <c r="AB371" s="26">
        <f>SUM(D371+H371+L371+P371+T371+X371)</f>
        <v>1000</v>
      </c>
      <c r="AC371" s="26">
        <f>SUM(E371+I371+Q371+U371+M371+Y371)</f>
        <v>155</v>
      </c>
      <c r="AD371" s="33">
        <f>AA371-AC371</f>
        <v>845</v>
      </c>
    </row>
    <row r="372" spans="1:30" ht="16.5">
      <c r="A372" s="7" t="s">
        <v>606</v>
      </c>
      <c r="B372" s="7" t="s">
        <v>607</v>
      </c>
      <c r="C372" s="33">
        <v>1000</v>
      </c>
      <c r="D372" s="33">
        <v>1000</v>
      </c>
      <c r="E372" s="33"/>
      <c r="F372" s="33">
        <f>C372-E372</f>
        <v>1000</v>
      </c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26">
        <f>SUM(C372+G372+K372+O372+S372+W372)</f>
        <v>1000</v>
      </c>
      <c r="AB372" s="26">
        <f>SUM(D372+H372+L372+P372+T372+X372)</f>
        <v>1000</v>
      </c>
      <c r="AC372" s="26">
        <f>SUM(E372+I372+Q372+U372+M372+Y372)</f>
        <v>0</v>
      </c>
      <c r="AD372" s="33">
        <f>AA372-AC372</f>
        <v>1000</v>
      </c>
    </row>
    <row r="373" spans="1:30" ht="16.5">
      <c r="A373" s="7" t="s">
        <v>608</v>
      </c>
      <c r="B373" s="7" t="s">
        <v>609</v>
      </c>
      <c r="C373" s="23">
        <f>SUM(C374+C375+C376)</f>
        <v>1000</v>
      </c>
      <c r="D373" s="23">
        <f aca="true" t="shared" si="178" ref="D373:AD373">SUM(D374+D375+D376)</f>
        <v>1000</v>
      </c>
      <c r="E373" s="23">
        <f t="shared" si="178"/>
        <v>0</v>
      </c>
      <c r="F373" s="23"/>
      <c r="G373" s="23">
        <f t="shared" si="178"/>
        <v>0</v>
      </c>
      <c r="H373" s="23">
        <f t="shared" si="178"/>
        <v>0</v>
      </c>
      <c r="I373" s="23">
        <f t="shared" si="178"/>
        <v>0</v>
      </c>
      <c r="J373" s="23"/>
      <c r="K373" s="23">
        <f t="shared" si="178"/>
        <v>0</v>
      </c>
      <c r="L373" s="23">
        <f t="shared" si="178"/>
        <v>0</v>
      </c>
      <c r="M373" s="23">
        <f t="shared" si="178"/>
        <v>0</v>
      </c>
      <c r="N373" s="23"/>
      <c r="O373" s="23">
        <f t="shared" si="178"/>
        <v>0</v>
      </c>
      <c r="P373" s="23">
        <f t="shared" si="178"/>
        <v>0</v>
      </c>
      <c r="Q373" s="23">
        <f t="shared" si="178"/>
        <v>0</v>
      </c>
      <c r="R373" s="23"/>
      <c r="S373" s="23">
        <f t="shared" si="178"/>
        <v>0</v>
      </c>
      <c r="T373" s="23">
        <f t="shared" si="178"/>
        <v>0</v>
      </c>
      <c r="U373" s="23">
        <f t="shared" si="178"/>
        <v>0</v>
      </c>
      <c r="V373" s="23"/>
      <c r="W373" s="23">
        <f t="shared" si="178"/>
        <v>0</v>
      </c>
      <c r="X373" s="23">
        <f t="shared" si="178"/>
        <v>0</v>
      </c>
      <c r="Y373" s="23">
        <f t="shared" si="178"/>
        <v>0</v>
      </c>
      <c r="Z373" s="23"/>
      <c r="AA373" s="23">
        <f t="shared" si="178"/>
        <v>1000</v>
      </c>
      <c r="AB373" s="23">
        <f t="shared" si="178"/>
        <v>1000</v>
      </c>
      <c r="AC373" s="23">
        <f t="shared" si="178"/>
        <v>0</v>
      </c>
      <c r="AD373" s="23">
        <f t="shared" si="178"/>
        <v>1000</v>
      </c>
    </row>
    <row r="374" spans="1:30" ht="16.5">
      <c r="A374" s="8" t="s">
        <v>610</v>
      </c>
      <c r="B374" s="8" t="s">
        <v>611</v>
      </c>
      <c r="C374" s="33">
        <v>500</v>
      </c>
      <c r="D374" s="33">
        <v>500</v>
      </c>
      <c r="E374" s="33"/>
      <c r="F374" s="33">
        <f>C374-D374</f>
        <v>0</v>
      </c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26">
        <f aca="true" t="shared" si="179" ref="AA374:AB376">SUM(C374+G374+K374+O374+S374+W374)</f>
        <v>500</v>
      </c>
      <c r="AB374" s="26">
        <f t="shared" si="179"/>
        <v>500</v>
      </c>
      <c r="AC374" s="26">
        <f>SUM(E374+I374+Q374+U374+M374+Y374)</f>
        <v>0</v>
      </c>
      <c r="AD374" s="33">
        <f>AA374-AC374</f>
        <v>500</v>
      </c>
    </row>
    <row r="375" spans="1:31" ht="16.5">
      <c r="A375" s="8" t="s">
        <v>796</v>
      </c>
      <c r="B375" s="8" t="s">
        <v>797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26">
        <f t="shared" si="179"/>
        <v>0</v>
      </c>
      <c r="AB375" s="26">
        <f t="shared" si="179"/>
        <v>0</v>
      </c>
      <c r="AC375" s="26">
        <f>SUM(E375+I375+M375+Q375+U375+Y375)</f>
        <v>0</v>
      </c>
      <c r="AD375" s="33">
        <f>AA375-AC375</f>
        <v>0</v>
      </c>
      <c r="AE375" s="36" t="s">
        <v>793</v>
      </c>
    </row>
    <row r="376" spans="1:30" ht="16.5">
      <c r="A376" s="8" t="s">
        <v>612</v>
      </c>
      <c r="B376" s="8" t="s">
        <v>613</v>
      </c>
      <c r="C376" s="33">
        <v>500</v>
      </c>
      <c r="D376" s="33">
        <v>500</v>
      </c>
      <c r="E376" s="33"/>
      <c r="F376" s="33">
        <f>C376-E376</f>
        <v>500</v>
      </c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26">
        <f t="shared" si="179"/>
        <v>500</v>
      </c>
      <c r="AB376" s="26">
        <f t="shared" si="179"/>
        <v>500</v>
      </c>
      <c r="AC376" s="26">
        <f>SUM(E376+I376+Q376+U376+M376+Y376)</f>
        <v>0</v>
      </c>
      <c r="AD376" s="33">
        <f>AA376-AC376</f>
        <v>500</v>
      </c>
    </row>
    <row r="377" spans="1:30" ht="16.5">
      <c r="A377" s="6" t="s">
        <v>614</v>
      </c>
      <c r="B377" s="6" t="s">
        <v>615</v>
      </c>
      <c r="C377" s="22">
        <f>SUM(C378+C379+C380+C381+C382+C386+C389+C392)</f>
        <v>12000</v>
      </c>
      <c r="D377" s="22">
        <f aca="true" t="shared" si="180" ref="D377:AD377">SUM(D378+D379+D380+D381+D382+D386+D389+D392)</f>
        <v>12000</v>
      </c>
      <c r="E377" s="22">
        <f t="shared" si="180"/>
        <v>2779</v>
      </c>
      <c r="F377" s="22"/>
      <c r="G377" s="22">
        <f t="shared" si="180"/>
        <v>10000</v>
      </c>
      <c r="H377" s="22">
        <f t="shared" si="180"/>
        <v>10000</v>
      </c>
      <c r="I377" s="22">
        <f t="shared" si="180"/>
        <v>3439</v>
      </c>
      <c r="J377" s="22"/>
      <c r="K377" s="22">
        <f t="shared" si="180"/>
        <v>0</v>
      </c>
      <c r="L377" s="22">
        <f t="shared" si="180"/>
        <v>0</v>
      </c>
      <c r="M377" s="22">
        <f t="shared" si="180"/>
        <v>0</v>
      </c>
      <c r="N377" s="22"/>
      <c r="O377" s="22">
        <f t="shared" si="180"/>
        <v>0</v>
      </c>
      <c r="P377" s="22">
        <f t="shared" si="180"/>
        <v>0</v>
      </c>
      <c r="Q377" s="22">
        <f t="shared" si="180"/>
        <v>0</v>
      </c>
      <c r="R377" s="22"/>
      <c r="S377" s="22">
        <f t="shared" si="180"/>
        <v>0</v>
      </c>
      <c r="T377" s="22">
        <f t="shared" si="180"/>
        <v>0</v>
      </c>
      <c r="U377" s="22">
        <f t="shared" si="180"/>
        <v>0</v>
      </c>
      <c r="V377" s="22"/>
      <c r="W377" s="22">
        <f t="shared" si="180"/>
        <v>0</v>
      </c>
      <c r="X377" s="22">
        <f t="shared" si="180"/>
        <v>0</v>
      </c>
      <c r="Y377" s="22">
        <f t="shared" si="180"/>
        <v>0</v>
      </c>
      <c r="Z377" s="22"/>
      <c r="AA377" s="34">
        <f t="shared" si="180"/>
        <v>22000</v>
      </c>
      <c r="AB377" s="34">
        <f t="shared" si="180"/>
        <v>22000</v>
      </c>
      <c r="AC377" s="34">
        <f t="shared" si="180"/>
        <v>6218</v>
      </c>
      <c r="AD377" s="22">
        <f t="shared" si="180"/>
        <v>15782</v>
      </c>
    </row>
    <row r="378" spans="1:30" ht="16.5">
      <c r="A378" s="7" t="s">
        <v>616</v>
      </c>
      <c r="B378" s="7" t="s">
        <v>617</v>
      </c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26">
        <f aca="true" t="shared" si="181" ref="AA378:AB381">SUM(C378+G378+K378+O378+S378+W378)</f>
        <v>0</v>
      </c>
      <c r="AB378" s="26">
        <f t="shared" si="181"/>
        <v>0</v>
      </c>
      <c r="AC378" s="26">
        <f>SUM(E378+I378+Q378+U378+M378+Y378)</f>
        <v>0</v>
      </c>
      <c r="AD378" s="33"/>
    </row>
    <row r="379" spans="1:30" ht="16.5">
      <c r="A379" s="7" t="s">
        <v>618</v>
      </c>
      <c r="B379" s="7" t="s">
        <v>619</v>
      </c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26">
        <f t="shared" si="181"/>
        <v>0</v>
      </c>
      <c r="AB379" s="26">
        <f t="shared" si="181"/>
        <v>0</v>
      </c>
      <c r="AC379" s="26">
        <f>SUM(E379+I379+Q379+U379+M379+Y379)</f>
        <v>0</v>
      </c>
      <c r="AD379" s="33"/>
    </row>
    <row r="380" spans="1:30" ht="16.5">
      <c r="A380" s="7" t="s">
        <v>620</v>
      </c>
      <c r="B380" s="7" t="s">
        <v>621</v>
      </c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26">
        <f t="shared" si="181"/>
        <v>0</v>
      </c>
      <c r="AB380" s="26">
        <f t="shared" si="181"/>
        <v>0</v>
      </c>
      <c r="AC380" s="26">
        <f>SUM(E380+I380+Q380+U380+M380+Y380)</f>
        <v>0</v>
      </c>
      <c r="AD380" s="33"/>
    </row>
    <row r="381" spans="1:30" ht="16.5">
      <c r="A381" s="7" t="s">
        <v>622</v>
      </c>
      <c r="B381" s="7" t="s">
        <v>623</v>
      </c>
      <c r="C381" s="33"/>
      <c r="D381" s="33"/>
      <c r="E381" s="33"/>
      <c r="F381" s="33"/>
      <c r="G381" s="33">
        <v>10000</v>
      </c>
      <c r="H381" s="33">
        <v>10000</v>
      </c>
      <c r="I381" s="33"/>
      <c r="J381" s="33">
        <f>G381-I381</f>
        <v>10000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26">
        <f t="shared" si="181"/>
        <v>10000</v>
      </c>
      <c r="AB381" s="26">
        <f t="shared" si="181"/>
        <v>10000</v>
      </c>
      <c r="AC381" s="26">
        <f>SUM(E381+I381+Q381+U381+M381+Y381)</f>
        <v>0</v>
      </c>
      <c r="AD381" s="33">
        <f>AA381-AC381</f>
        <v>10000</v>
      </c>
    </row>
    <row r="382" spans="1:30" ht="16.5">
      <c r="A382" s="7" t="s">
        <v>624</v>
      </c>
      <c r="B382" s="7" t="s">
        <v>625</v>
      </c>
      <c r="C382" s="23">
        <f>SUM(C383+C384+C385)</f>
        <v>4000</v>
      </c>
      <c r="D382" s="23">
        <f aca="true" t="shared" si="182" ref="D382:AD382">SUM(D383+D384+D385)</f>
        <v>4000</v>
      </c>
      <c r="E382" s="23">
        <f t="shared" si="182"/>
        <v>2779</v>
      </c>
      <c r="F382" s="23"/>
      <c r="G382" s="23">
        <f t="shared" si="182"/>
        <v>0</v>
      </c>
      <c r="H382" s="23">
        <f t="shared" si="182"/>
        <v>0</v>
      </c>
      <c r="I382" s="23">
        <f t="shared" si="182"/>
        <v>3439</v>
      </c>
      <c r="J382" s="23"/>
      <c r="K382" s="23">
        <f t="shared" si="182"/>
        <v>0</v>
      </c>
      <c r="L382" s="23">
        <f t="shared" si="182"/>
        <v>0</v>
      </c>
      <c r="M382" s="23">
        <f t="shared" si="182"/>
        <v>0</v>
      </c>
      <c r="N382" s="23"/>
      <c r="O382" s="23">
        <f t="shared" si="182"/>
        <v>0</v>
      </c>
      <c r="P382" s="23">
        <f t="shared" si="182"/>
        <v>0</v>
      </c>
      <c r="Q382" s="23">
        <f t="shared" si="182"/>
        <v>0</v>
      </c>
      <c r="R382" s="23"/>
      <c r="S382" s="23">
        <f t="shared" si="182"/>
        <v>0</v>
      </c>
      <c r="T382" s="23">
        <f t="shared" si="182"/>
        <v>0</v>
      </c>
      <c r="U382" s="23">
        <f t="shared" si="182"/>
        <v>0</v>
      </c>
      <c r="V382" s="23"/>
      <c r="W382" s="23">
        <f t="shared" si="182"/>
        <v>0</v>
      </c>
      <c r="X382" s="23">
        <f t="shared" si="182"/>
        <v>0</v>
      </c>
      <c r="Y382" s="23">
        <f t="shared" si="182"/>
        <v>0</v>
      </c>
      <c r="Z382" s="23"/>
      <c r="AA382" s="32">
        <f t="shared" si="182"/>
        <v>4000</v>
      </c>
      <c r="AB382" s="32">
        <f t="shared" si="182"/>
        <v>4000</v>
      </c>
      <c r="AC382" s="32">
        <f t="shared" si="182"/>
        <v>6218</v>
      </c>
      <c r="AD382" s="23">
        <f t="shared" si="182"/>
        <v>-2218</v>
      </c>
    </row>
    <row r="383" spans="1:30" ht="16.5">
      <c r="A383" s="8" t="s">
        <v>626</v>
      </c>
      <c r="B383" s="8" t="s">
        <v>627</v>
      </c>
      <c r="C383" s="33">
        <v>1000</v>
      </c>
      <c r="D383" s="33">
        <v>1000</v>
      </c>
      <c r="E383" s="33">
        <f>68+1320+1140</f>
        <v>2528</v>
      </c>
      <c r="F383" s="33">
        <f>C383-E383</f>
        <v>-1528</v>
      </c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26">
        <f aca="true" t="shared" si="183" ref="AA383:AB385">SUM(C383+G383+K383+O383+S383+W383)</f>
        <v>1000</v>
      </c>
      <c r="AB383" s="26">
        <f t="shared" si="183"/>
        <v>1000</v>
      </c>
      <c r="AC383" s="26">
        <f>SUM(E383+I383+Q383+U383+M383+Y383)</f>
        <v>2528</v>
      </c>
      <c r="AD383" s="33">
        <f>AA383-AC383</f>
        <v>-1528</v>
      </c>
    </row>
    <row r="384" spans="1:30" ht="16.5">
      <c r="A384" s="8" t="s">
        <v>628</v>
      </c>
      <c r="B384" s="8" t="s">
        <v>629</v>
      </c>
      <c r="C384" s="33">
        <v>1000</v>
      </c>
      <c r="D384" s="33">
        <v>1000</v>
      </c>
      <c r="E384" s="33"/>
      <c r="F384" s="33">
        <f>C384-E384</f>
        <v>1000</v>
      </c>
      <c r="G384" s="33"/>
      <c r="H384" s="33"/>
      <c r="I384" s="33">
        <f>3439</f>
        <v>3439</v>
      </c>
      <c r="J384" s="33">
        <f>G384-I384</f>
        <v>-3439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26">
        <f t="shared" si="183"/>
        <v>1000</v>
      </c>
      <c r="AB384" s="26">
        <f t="shared" si="183"/>
        <v>1000</v>
      </c>
      <c r="AC384" s="26">
        <f>SUM(E384+I384+Q384+U384+M384+Y384)</f>
        <v>3439</v>
      </c>
      <c r="AD384" s="33">
        <f>AA384-AC384</f>
        <v>-2439</v>
      </c>
    </row>
    <row r="385" spans="1:30" ht="16.5">
      <c r="A385" s="8" t="s">
        <v>630</v>
      </c>
      <c r="B385" s="8" t="s">
        <v>325</v>
      </c>
      <c r="C385" s="33">
        <v>2000</v>
      </c>
      <c r="D385" s="33">
        <v>2000</v>
      </c>
      <c r="E385" s="33">
        <f>251</f>
        <v>251</v>
      </c>
      <c r="F385" s="33">
        <f>C385-E385</f>
        <v>1749</v>
      </c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26">
        <f t="shared" si="183"/>
        <v>2000</v>
      </c>
      <c r="AB385" s="26">
        <f t="shared" si="183"/>
        <v>2000</v>
      </c>
      <c r="AC385" s="26">
        <f>SUM(E385+I385+Q385+U385+M385+Y385)</f>
        <v>251</v>
      </c>
      <c r="AD385" s="33">
        <f>AA385-AC385</f>
        <v>1749</v>
      </c>
    </row>
    <row r="386" spans="1:30" ht="16.5">
      <c r="A386" s="7" t="s">
        <v>631</v>
      </c>
      <c r="B386" s="7" t="s">
        <v>632</v>
      </c>
      <c r="C386" s="23">
        <f>SUM(C387+C388)</f>
        <v>4000</v>
      </c>
      <c r="D386" s="23">
        <f aca="true" t="shared" si="184" ref="D386:AD386">SUM(D387+D388)</f>
        <v>4000</v>
      </c>
      <c r="E386" s="23">
        <f t="shared" si="184"/>
        <v>0</v>
      </c>
      <c r="F386" s="23"/>
      <c r="G386" s="23">
        <f t="shared" si="184"/>
        <v>0</v>
      </c>
      <c r="H386" s="23">
        <f t="shared" si="184"/>
        <v>0</v>
      </c>
      <c r="I386" s="23">
        <f t="shared" si="184"/>
        <v>0</v>
      </c>
      <c r="J386" s="23"/>
      <c r="K386" s="23">
        <f t="shared" si="184"/>
        <v>0</v>
      </c>
      <c r="L386" s="23">
        <f t="shared" si="184"/>
        <v>0</v>
      </c>
      <c r="M386" s="23">
        <f t="shared" si="184"/>
        <v>0</v>
      </c>
      <c r="N386" s="23"/>
      <c r="O386" s="23">
        <f t="shared" si="184"/>
        <v>0</v>
      </c>
      <c r="P386" s="23">
        <f t="shared" si="184"/>
        <v>0</v>
      </c>
      <c r="Q386" s="23">
        <f t="shared" si="184"/>
        <v>0</v>
      </c>
      <c r="R386" s="23"/>
      <c r="S386" s="23">
        <f t="shared" si="184"/>
        <v>0</v>
      </c>
      <c r="T386" s="23">
        <f t="shared" si="184"/>
        <v>0</v>
      </c>
      <c r="U386" s="23">
        <f t="shared" si="184"/>
        <v>0</v>
      </c>
      <c r="V386" s="23"/>
      <c r="W386" s="23">
        <f t="shared" si="184"/>
        <v>0</v>
      </c>
      <c r="X386" s="23">
        <f t="shared" si="184"/>
        <v>0</v>
      </c>
      <c r="Y386" s="23">
        <f t="shared" si="184"/>
        <v>0</v>
      </c>
      <c r="Z386" s="23"/>
      <c r="AA386" s="32">
        <f t="shared" si="184"/>
        <v>4000</v>
      </c>
      <c r="AB386" s="32">
        <f t="shared" si="184"/>
        <v>4000</v>
      </c>
      <c r="AC386" s="32">
        <f t="shared" si="184"/>
        <v>0</v>
      </c>
      <c r="AD386" s="23">
        <f t="shared" si="184"/>
        <v>4000</v>
      </c>
    </row>
    <row r="387" spans="1:30" ht="16.5">
      <c r="A387" s="8" t="s">
        <v>633</v>
      </c>
      <c r="B387" s="8" t="s">
        <v>634</v>
      </c>
      <c r="C387" s="33">
        <v>4000</v>
      </c>
      <c r="D387" s="33">
        <v>4000</v>
      </c>
      <c r="E387" s="33"/>
      <c r="F387" s="33">
        <f>C387-E387</f>
        <v>4000</v>
      </c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26">
        <f>SUM(C387+G387+K387+O387+S387+W387)</f>
        <v>4000</v>
      </c>
      <c r="AB387" s="26">
        <f>SUM(D387+H387+L387+P387+T387+X387)</f>
        <v>4000</v>
      </c>
      <c r="AC387" s="26">
        <f>SUM(E387+I387+Q387+U387+M387+Y387)</f>
        <v>0</v>
      </c>
      <c r="AD387" s="33">
        <f>AA387-AC387</f>
        <v>4000</v>
      </c>
    </row>
    <row r="388" spans="1:30" ht="16.5">
      <c r="A388" s="8" t="s">
        <v>635</v>
      </c>
      <c r="B388" s="8" t="s">
        <v>636</v>
      </c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26">
        <f>SUM(C388+G388+K388+O388+S388+W388)</f>
        <v>0</v>
      </c>
      <c r="AB388" s="26">
        <f>SUM(D388+H388+L388+P388+T388+X388)</f>
        <v>0</v>
      </c>
      <c r="AC388" s="26">
        <f>SUM(E388+I388+Q388+U388+M388+Y388)</f>
        <v>0</v>
      </c>
      <c r="AD388" s="33"/>
    </row>
    <row r="389" spans="1:30" ht="16.5">
      <c r="A389" s="7" t="s">
        <v>637</v>
      </c>
      <c r="B389" s="7" t="s">
        <v>638</v>
      </c>
      <c r="C389" s="23">
        <f>SUM(C390+C391)</f>
        <v>4000</v>
      </c>
      <c r="D389" s="23">
        <f aca="true" t="shared" si="185" ref="D389:AD389">SUM(D390+D391)</f>
        <v>4000</v>
      </c>
      <c r="E389" s="23">
        <f t="shared" si="185"/>
        <v>0</v>
      </c>
      <c r="F389" s="23"/>
      <c r="G389" s="23">
        <f t="shared" si="185"/>
        <v>0</v>
      </c>
      <c r="H389" s="23">
        <f t="shared" si="185"/>
        <v>0</v>
      </c>
      <c r="I389" s="23">
        <f t="shared" si="185"/>
        <v>0</v>
      </c>
      <c r="J389" s="23"/>
      <c r="K389" s="23">
        <f t="shared" si="185"/>
        <v>0</v>
      </c>
      <c r="L389" s="23">
        <f t="shared" si="185"/>
        <v>0</v>
      </c>
      <c r="M389" s="23">
        <f t="shared" si="185"/>
        <v>0</v>
      </c>
      <c r="N389" s="23"/>
      <c r="O389" s="23">
        <f t="shared" si="185"/>
        <v>0</v>
      </c>
      <c r="P389" s="23">
        <f t="shared" si="185"/>
        <v>0</v>
      </c>
      <c r="Q389" s="23">
        <f t="shared" si="185"/>
        <v>0</v>
      </c>
      <c r="R389" s="23"/>
      <c r="S389" s="23">
        <f t="shared" si="185"/>
        <v>0</v>
      </c>
      <c r="T389" s="23">
        <f t="shared" si="185"/>
        <v>0</v>
      </c>
      <c r="U389" s="23">
        <f t="shared" si="185"/>
        <v>0</v>
      </c>
      <c r="V389" s="23"/>
      <c r="W389" s="23">
        <f t="shared" si="185"/>
        <v>0</v>
      </c>
      <c r="X389" s="23">
        <f t="shared" si="185"/>
        <v>0</v>
      </c>
      <c r="Y389" s="23">
        <f t="shared" si="185"/>
        <v>0</v>
      </c>
      <c r="Z389" s="23"/>
      <c r="AA389" s="32">
        <f t="shared" si="185"/>
        <v>4000</v>
      </c>
      <c r="AB389" s="32">
        <f t="shared" si="185"/>
        <v>4000</v>
      </c>
      <c r="AC389" s="32">
        <f t="shared" si="185"/>
        <v>0</v>
      </c>
      <c r="AD389" s="23">
        <f t="shared" si="185"/>
        <v>4000</v>
      </c>
    </row>
    <row r="390" spans="1:30" ht="16.5">
      <c r="A390" s="8" t="s">
        <v>639</v>
      </c>
      <c r="B390" s="8" t="s">
        <v>640</v>
      </c>
      <c r="C390" s="33">
        <v>4000</v>
      </c>
      <c r="D390" s="33">
        <v>4000</v>
      </c>
      <c r="E390" s="33"/>
      <c r="F390" s="33">
        <f>C390-E390</f>
        <v>4000</v>
      </c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26">
        <f aca="true" t="shared" si="186" ref="AA390:AB392">SUM(C390+G390+K390+O390+S390+W390)</f>
        <v>4000</v>
      </c>
      <c r="AB390" s="26">
        <f t="shared" si="186"/>
        <v>4000</v>
      </c>
      <c r="AC390" s="26">
        <f>SUM(E390+I390+Q390+U390+M390+Y390)</f>
        <v>0</v>
      </c>
      <c r="AD390" s="33">
        <f>AA390-AC390</f>
        <v>4000</v>
      </c>
    </row>
    <row r="391" spans="1:30" ht="16.5">
      <c r="A391" s="8" t="s">
        <v>641</v>
      </c>
      <c r="B391" s="8" t="s">
        <v>642</v>
      </c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26">
        <f t="shared" si="186"/>
        <v>0</v>
      </c>
      <c r="AB391" s="26">
        <f t="shared" si="186"/>
        <v>0</v>
      </c>
      <c r="AC391" s="26">
        <f>SUM(E391+I391+Q391+U391+M391+Y391)</f>
        <v>0</v>
      </c>
      <c r="AD391" s="33"/>
    </row>
    <row r="392" spans="1:30" ht="16.5">
      <c r="A392" s="7" t="s">
        <v>643</v>
      </c>
      <c r="B392" s="7" t="s">
        <v>644</v>
      </c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26">
        <f t="shared" si="186"/>
        <v>0</v>
      </c>
      <c r="AB392" s="26">
        <f t="shared" si="186"/>
        <v>0</v>
      </c>
      <c r="AC392" s="26">
        <f>SUM(E392+I392+Q392+U392+M392+Y392)</f>
        <v>0</v>
      </c>
      <c r="AD392" s="33"/>
    </row>
    <row r="393" spans="1:30" ht="16.5">
      <c r="A393" s="6" t="s">
        <v>645</v>
      </c>
      <c r="B393" s="6" t="s">
        <v>646</v>
      </c>
      <c r="C393" s="22">
        <f>SUM(C394+C399+C400+C401)</f>
        <v>1000</v>
      </c>
      <c r="D393" s="22">
        <f aca="true" t="shared" si="187" ref="D393:AD393">SUM(D394+D399+D400+D401)</f>
        <v>1000</v>
      </c>
      <c r="E393" s="22">
        <f t="shared" si="187"/>
        <v>0</v>
      </c>
      <c r="F393" s="22"/>
      <c r="G393" s="22">
        <f t="shared" si="187"/>
        <v>0</v>
      </c>
      <c r="H393" s="22">
        <f t="shared" si="187"/>
        <v>0</v>
      </c>
      <c r="I393" s="22">
        <f t="shared" si="187"/>
        <v>0</v>
      </c>
      <c r="J393" s="22"/>
      <c r="K393" s="22">
        <f t="shared" si="187"/>
        <v>0</v>
      </c>
      <c r="L393" s="22">
        <f t="shared" si="187"/>
        <v>0</v>
      </c>
      <c r="M393" s="22">
        <f t="shared" si="187"/>
        <v>0</v>
      </c>
      <c r="N393" s="22"/>
      <c r="O393" s="22">
        <f t="shared" si="187"/>
        <v>0</v>
      </c>
      <c r="P393" s="22">
        <f t="shared" si="187"/>
        <v>0</v>
      </c>
      <c r="Q393" s="22">
        <f t="shared" si="187"/>
        <v>0</v>
      </c>
      <c r="R393" s="22"/>
      <c r="S393" s="22">
        <f t="shared" si="187"/>
        <v>0</v>
      </c>
      <c r="T393" s="22">
        <f t="shared" si="187"/>
        <v>0</v>
      </c>
      <c r="U393" s="22">
        <f t="shared" si="187"/>
        <v>0</v>
      </c>
      <c r="V393" s="22"/>
      <c r="W393" s="22">
        <f t="shared" si="187"/>
        <v>0</v>
      </c>
      <c r="X393" s="22">
        <f t="shared" si="187"/>
        <v>0</v>
      </c>
      <c r="Y393" s="22">
        <f t="shared" si="187"/>
        <v>0</v>
      </c>
      <c r="Z393" s="22"/>
      <c r="AA393" s="34">
        <f t="shared" si="187"/>
        <v>1000</v>
      </c>
      <c r="AB393" s="34">
        <f t="shared" si="187"/>
        <v>1000</v>
      </c>
      <c r="AC393" s="34">
        <f t="shared" si="187"/>
        <v>0</v>
      </c>
      <c r="AD393" s="22">
        <f t="shared" si="187"/>
        <v>1000</v>
      </c>
    </row>
    <row r="394" spans="1:30" ht="16.5">
      <c r="A394" s="7" t="s">
        <v>647</v>
      </c>
      <c r="B394" s="7" t="s">
        <v>648</v>
      </c>
      <c r="C394" s="23">
        <f>SUM(C395+C396+C397+C398)</f>
        <v>1000</v>
      </c>
      <c r="D394" s="23">
        <f aca="true" t="shared" si="188" ref="D394:AD394">SUM(D395+D396+D397+D398)</f>
        <v>1000</v>
      </c>
      <c r="E394" s="23">
        <f t="shared" si="188"/>
        <v>0</v>
      </c>
      <c r="F394" s="23"/>
      <c r="G394" s="23">
        <f t="shared" si="188"/>
        <v>0</v>
      </c>
      <c r="H394" s="23">
        <f t="shared" si="188"/>
        <v>0</v>
      </c>
      <c r="I394" s="23">
        <f t="shared" si="188"/>
        <v>0</v>
      </c>
      <c r="J394" s="23"/>
      <c r="K394" s="23">
        <f t="shared" si="188"/>
        <v>0</v>
      </c>
      <c r="L394" s="23">
        <f t="shared" si="188"/>
        <v>0</v>
      </c>
      <c r="M394" s="23">
        <f t="shared" si="188"/>
        <v>0</v>
      </c>
      <c r="N394" s="23"/>
      <c r="O394" s="23">
        <f t="shared" si="188"/>
        <v>0</v>
      </c>
      <c r="P394" s="23">
        <f t="shared" si="188"/>
        <v>0</v>
      </c>
      <c r="Q394" s="23">
        <f t="shared" si="188"/>
        <v>0</v>
      </c>
      <c r="R394" s="23"/>
      <c r="S394" s="23">
        <f t="shared" si="188"/>
        <v>0</v>
      </c>
      <c r="T394" s="23">
        <f t="shared" si="188"/>
        <v>0</v>
      </c>
      <c r="U394" s="23">
        <f t="shared" si="188"/>
        <v>0</v>
      </c>
      <c r="V394" s="23"/>
      <c r="W394" s="23">
        <f t="shared" si="188"/>
        <v>0</v>
      </c>
      <c r="X394" s="23">
        <f t="shared" si="188"/>
        <v>0</v>
      </c>
      <c r="Y394" s="23">
        <f t="shared" si="188"/>
        <v>0</v>
      </c>
      <c r="Z394" s="23"/>
      <c r="AA394" s="32">
        <f t="shared" si="188"/>
        <v>1000</v>
      </c>
      <c r="AB394" s="32">
        <f t="shared" si="188"/>
        <v>1000</v>
      </c>
      <c r="AC394" s="32">
        <f t="shared" si="188"/>
        <v>0</v>
      </c>
      <c r="AD394" s="23">
        <f t="shared" si="188"/>
        <v>1000</v>
      </c>
    </row>
    <row r="395" spans="1:30" ht="16.5">
      <c r="A395" s="8" t="s">
        <v>649</v>
      </c>
      <c r="B395" s="8" t="s">
        <v>650</v>
      </c>
      <c r="C395" s="33">
        <v>1000</v>
      </c>
      <c r="D395" s="33">
        <v>1000</v>
      </c>
      <c r="E395" s="33"/>
      <c r="F395" s="33">
        <f>C395-E395</f>
        <v>1000</v>
      </c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26">
        <f aca="true" t="shared" si="189" ref="AA395:AA401">SUM(C395+G395+K395+O395+S395+W395)</f>
        <v>1000</v>
      </c>
      <c r="AB395" s="26">
        <f aca="true" t="shared" si="190" ref="AB395:AB401">SUM(D395+H395+L395+P395+T395+X395)</f>
        <v>1000</v>
      </c>
      <c r="AC395" s="26">
        <f aca="true" t="shared" si="191" ref="AC395:AC401">SUM(E395+I395+Q395+U395+M395+Y395)</f>
        <v>0</v>
      </c>
      <c r="AD395" s="33">
        <f>AA395-AC395</f>
        <v>1000</v>
      </c>
    </row>
    <row r="396" spans="1:30" ht="16.5">
      <c r="A396" s="8" t="s">
        <v>651</v>
      </c>
      <c r="B396" s="8" t="s">
        <v>652</v>
      </c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26">
        <f t="shared" si="189"/>
        <v>0</v>
      </c>
      <c r="AB396" s="26">
        <f t="shared" si="190"/>
        <v>0</v>
      </c>
      <c r="AC396" s="26">
        <f t="shared" si="191"/>
        <v>0</v>
      </c>
      <c r="AD396" s="33"/>
    </row>
    <row r="397" spans="1:30" ht="16.5">
      <c r="A397" s="8" t="s">
        <v>747</v>
      </c>
      <c r="B397" s="8" t="s">
        <v>748</v>
      </c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26">
        <f t="shared" si="189"/>
        <v>0</v>
      </c>
      <c r="AB397" s="26">
        <f t="shared" si="190"/>
        <v>0</v>
      </c>
      <c r="AC397" s="26">
        <f t="shared" si="191"/>
        <v>0</v>
      </c>
      <c r="AD397" s="33"/>
    </row>
    <row r="398" spans="1:30" ht="16.5">
      <c r="A398" s="8" t="s">
        <v>653</v>
      </c>
      <c r="B398" s="8" t="s">
        <v>400</v>
      </c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26">
        <f t="shared" si="189"/>
        <v>0</v>
      </c>
      <c r="AB398" s="26">
        <f t="shared" si="190"/>
        <v>0</v>
      </c>
      <c r="AC398" s="26">
        <f t="shared" si="191"/>
        <v>0</v>
      </c>
      <c r="AD398" s="33"/>
    </row>
    <row r="399" spans="1:30" ht="16.5">
      <c r="A399" s="7" t="s">
        <v>654</v>
      </c>
      <c r="B399" s="7" t="s">
        <v>655</v>
      </c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26">
        <f t="shared" si="189"/>
        <v>0</v>
      </c>
      <c r="AB399" s="26">
        <f t="shared" si="190"/>
        <v>0</v>
      </c>
      <c r="AC399" s="26">
        <f t="shared" si="191"/>
        <v>0</v>
      </c>
      <c r="AD399" s="33"/>
    </row>
    <row r="400" spans="1:30" ht="16.5">
      <c r="A400" s="7" t="s">
        <v>656</v>
      </c>
      <c r="B400" s="7" t="s">
        <v>657</v>
      </c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26">
        <f t="shared" si="189"/>
        <v>0</v>
      </c>
      <c r="AB400" s="26">
        <f t="shared" si="190"/>
        <v>0</v>
      </c>
      <c r="AC400" s="26">
        <f t="shared" si="191"/>
        <v>0</v>
      </c>
      <c r="AD400" s="33"/>
    </row>
    <row r="401" spans="1:30" ht="16.5">
      <c r="A401" s="7" t="s">
        <v>658</v>
      </c>
      <c r="B401" s="7" t="s">
        <v>659</v>
      </c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26">
        <f t="shared" si="189"/>
        <v>0</v>
      </c>
      <c r="AB401" s="26">
        <f t="shared" si="190"/>
        <v>0</v>
      </c>
      <c r="AC401" s="26">
        <f t="shared" si="191"/>
        <v>0</v>
      </c>
      <c r="AD401" s="33"/>
    </row>
    <row r="402" spans="1:30" ht="16.5">
      <c r="A402" s="6" t="s">
        <v>660</v>
      </c>
      <c r="B402" s="6" t="s">
        <v>661</v>
      </c>
      <c r="C402" s="22">
        <f>SUM(C403+C406+C415)</f>
        <v>0</v>
      </c>
      <c r="D402" s="22">
        <f aca="true" t="shared" si="192" ref="D402:AD402">SUM(D403+D406+D415)</f>
        <v>0</v>
      </c>
      <c r="E402" s="22">
        <f t="shared" si="192"/>
        <v>0</v>
      </c>
      <c r="F402" s="22"/>
      <c r="G402" s="22">
        <f t="shared" si="192"/>
        <v>850000</v>
      </c>
      <c r="H402" s="22">
        <f t="shared" si="192"/>
        <v>850000</v>
      </c>
      <c r="I402" s="22">
        <f t="shared" si="192"/>
        <v>293320</v>
      </c>
      <c r="J402" s="22"/>
      <c r="K402" s="22">
        <f t="shared" si="192"/>
        <v>0</v>
      </c>
      <c r="L402" s="22">
        <f t="shared" si="192"/>
        <v>0</v>
      </c>
      <c r="M402" s="22">
        <f t="shared" si="192"/>
        <v>0</v>
      </c>
      <c r="N402" s="22"/>
      <c r="O402" s="22">
        <f t="shared" si="192"/>
        <v>0</v>
      </c>
      <c r="P402" s="22">
        <f t="shared" si="192"/>
        <v>0</v>
      </c>
      <c r="Q402" s="22">
        <f t="shared" si="192"/>
        <v>0</v>
      </c>
      <c r="R402" s="22"/>
      <c r="S402" s="22">
        <f t="shared" si="192"/>
        <v>0</v>
      </c>
      <c r="T402" s="22">
        <f t="shared" si="192"/>
        <v>0</v>
      </c>
      <c r="U402" s="22">
        <f t="shared" si="192"/>
        <v>0</v>
      </c>
      <c r="V402" s="22"/>
      <c r="W402" s="22">
        <f t="shared" si="192"/>
        <v>0</v>
      </c>
      <c r="X402" s="22">
        <f t="shared" si="192"/>
        <v>0</v>
      </c>
      <c r="Y402" s="22">
        <f t="shared" si="192"/>
        <v>0</v>
      </c>
      <c r="Z402" s="22"/>
      <c r="AA402" s="34">
        <f t="shared" si="192"/>
        <v>850000</v>
      </c>
      <c r="AB402" s="34">
        <f t="shared" si="192"/>
        <v>850000</v>
      </c>
      <c r="AC402" s="34">
        <f t="shared" si="192"/>
        <v>293320</v>
      </c>
      <c r="AD402" s="22">
        <f t="shared" si="192"/>
        <v>556680</v>
      </c>
    </row>
    <row r="403" spans="1:30" ht="16.5">
      <c r="A403" s="7" t="s">
        <v>662</v>
      </c>
      <c r="B403" s="7" t="s">
        <v>663</v>
      </c>
      <c r="C403" s="23">
        <f>SUM(C404+C405)</f>
        <v>0</v>
      </c>
      <c r="D403" s="23">
        <f aca="true" t="shared" si="193" ref="D403:AD403">SUM(D404+D405)</f>
        <v>0</v>
      </c>
      <c r="E403" s="23">
        <f t="shared" si="193"/>
        <v>0</v>
      </c>
      <c r="F403" s="23"/>
      <c r="G403" s="23">
        <f t="shared" si="193"/>
        <v>110000</v>
      </c>
      <c r="H403" s="23">
        <f t="shared" si="193"/>
        <v>110000</v>
      </c>
      <c r="I403" s="23">
        <f t="shared" si="193"/>
        <v>444</v>
      </c>
      <c r="J403" s="23"/>
      <c r="K403" s="23">
        <f t="shared" si="193"/>
        <v>0</v>
      </c>
      <c r="L403" s="23">
        <f t="shared" si="193"/>
        <v>0</v>
      </c>
      <c r="M403" s="23">
        <f t="shared" si="193"/>
        <v>0</v>
      </c>
      <c r="N403" s="23"/>
      <c r="O403" s="23">
        <f t="shared" si="193"/>
        <v>0</v>
      </c>
      <c r="P403" s="23">
        <f t="shared" si="193"/>
        <v>0</v>
      </c>
      <c r="Q403" s="23">
        <f t="shared" si="193"/>
        <v>0</v>
      </c>
      <c r="R403" s="23"/>
      <c r="S403" s="23">
        <f t="shared" si="193"/>
        <v>0</v>
      </c>
      <c r="T403" s="23">
        <f t="shared" si="193"/>
        <v>0</v>
      </c>
      <c r="U403" s="23">
        <f t="shared" si="193"/>
        <v>0</v>
      </c>
      <c r="V403" s="23"/>
      <c r="W403" s="23">
        <f t="shared" si="193"/>
        <v>0</v>
      </c>
      <c r="X403" s="23">
        <f t="shared" si="193"/>
        <v>0</v>
      </c>
      <c r="Y403" s="23">
        <f t="shared" si="193"/>
        <v>0</v>
      </c>
      <c r="Z403" s="23"/>
      <c r="AA403" s="32">
        <f t="shared" si="193"/>
        <v>110000</v>
      </c>
      <c r="AB403" s="32">
        <f t="shared" si="193"/>
        <v>110000</v>
      </c>
      <c r="AC403" s="32">
        <f t="shared" si="193"/>
        <v>444</v>
      </c>
      <c r="AD403" s="23">
        <f t="shared" si="193"/>
        <v>109556</v>
      </c>
    </row>
    <row r="404" spans="1:30" ht="16.5">
      <c r="A404" s="8" t="s">
        <v>664</v>
      </c>
      <c r="B404" s="8" t="s">
        <v>665</v>
      </c>
      <c r="C404" s="33"/>
      <c r="D404" s="33"/>
      <c r="E404" s="33"/>
      <c r="F404" s="33"/>
      <c r="G404" s="33">
        <v>10000</v>
      </c>
      <c r="H404" s="33">
        <v>10000</v>
      </c>
      <c r="I404" s="33">
        <f>444</f>
        <v>444</v>
      </c>
      <c r="J404" s="33">
        <f>G404-I404</f>
        <v>9556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26">
        <f>SUM(C404+G404+K404+O404+S404+W404)</f>
        <v>10000</v>
      </c>
      <c r="AB404" s="26">
        <f>SUM(D404+H404+L404+P404+T404+X404)</f>
        <v>10000</v>
      </c>
      <c r="AC404" s="26">
        <f>SUM(E404+I404+Q404+U404+M404+Y404)</f>
        <v>444</v>
      </c>
      <c r="AD404" s="33">
        <f>AA404-AC404</f>
        <v>9556</v>
      </c>
    </row>
    <row r="405" spans="1:30" ht="16.5">
      <c r="A405" s="8" t="s">
        <v>666</v>
      </c>
      <c r="B405" s="8" t="s">
        <v>667</v>
      </c>
      <c r="C405" s="33"/>
      <c r="D405" s="33"/>
      <c r="E405" s="33"/>
      <c r="F405" s="33"/>
      <c r="G405" s="33">
        <v>100000</v>
      </c>
      <c r="H405" s="33">
        <v>100000</v>
      </c>
      <c r="I405" s="33"/>
      <c r="J405" s="33">
        <f>G405-I405</f>
        <v>100000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26">
        <f>SUM(C405+G405+K405+O405+S405+W405)</f>
        <v>100000</v>
      </c>
      <c r="AB405" s="26">
        <f>SUM(D405+H405+L405+P405+T405+X405)</f>
        <v>100000</v>
      </c>
      <c r="AC405" s="26">
        <f>SUM(E405+I405+Q405+U405+M405+Y405)</f>
        <v>0</v>
      </c>
      <c r="AD405" s="33">
        <f>AA405-AC405</f>
        <v>100000</v>
      </c>
    </row>
    <row r="406" spans="1:30" ht="16.5">
      <c r="A406" s="7" t="s">
        <v>668</v>
      </c>
      <c r="B406" s="7" t="s">
        <v>669</v>
      </c>
      <c r="C406" s="23">
        <f>SUM(C407+C408+C409+C410+C411+C412+C413+C414)</f>
        <v>0</v>
      </c>
      <c r="D406" s="23">
        <f aca="true" t="shared" si="194" ref="D406:AD406">SUM(D407+D408+D409+D410+D411+D412+D413+D414)</f>
        <v>0</v>
      </c>
      <c r="E406" s="23">
        <f t="shared" si="194"/>
        <v>0</v>
      </c>
      <c r="F406" s="23"/>
      <c r="G406" s="23">
        <f t="shared" si="194"/>
        <v>740000</v>
      </c>
      <c r="H406" s="23">
        <f t="shared" si="194"/>
        <v>740000</v>
      </c>
      <c r="I406" s="23">
        <f t="shared" si="194"/>
        <v>292876</v>
      </c>
      <c r="J406" s="23"/>
      <c r="K406" s="23">
        <f t="shared" si="194"/>
        <v>0</v>
      </c>
      <c r="L406" s="23">
        <f t="shared" si="194"/>
        <v>0</v>
      </c>
      <c r="M406" s="23">
        <f t="shared" si="194"/>
        <v>0</v>
      </c>
      <c r="N406" s="23"/>
      <c r="O406" s="23">
        <f t="shared" si="194"/>
        <v>0</v>
      </c>
      <c r="P406" s="23">
        <f t="shared" si="194"/>
        <v>0</v>
      </c>
      <c r="Q406" s="23">
        <f t="shared" si="194"/>
        <v>0</v>
      </c>
      <c r="R406" s="23"/>
      <c r="S406" s="23">
        <f t="shared" si="194"/>
        <v>0</v>
      </c>
      <c r="T406" s="23">
        <f t="shared" si="194"/>
        <v>0</v>
      </c>
      <c r="U406" s="23">
        <f t="shared" si="194"/>
        <v>0</v>
      </c>
      <c r="V406" s="23"/>
      <c r="W406" s="23">
        <f t="shared" si="194"/>
        <v>0</v>
      </c>
      <c r="X406" s="23">
        <f t="shared" si="194"/>
        <v>0</v>
      </c>
      <c r="Y406" s="23">
        <f t="shared" si="194"/>
        <v>0</v>
      </c>
      <c r="Z406" s="23"/>
      <c r="AA406" s="32">
        <f t="shared" si="194"/>
        <v>740000</v>
      </c>
      <c r="AB406" s="32">
        <f t="shared" si="194"/>
        <v>740000</v>
      </c>
      <c r="AC406" s="32">
        <f t="shared" si="194"/>
        <v>292876</v>
      </c>
      <c r="AD406" s="23">
        <f t="shared" si="194"/>
        <v>447124</v>
      </c>
    </row>
    <row r="407" spans="1:30" ht="16.5">
      <c r="A407" s="8" t="s">
        <v>670</v>
      </c>
      <c r="B407" s="8" t="s">
        <v>665</v>
      </c>
      <c r="C407" s="33"/>
      <c r="D407" s="33"/>
      <c r="E407" s="33"/>
      <c r="F407" s="33"/>
      <c r="G407" s="33">
        <v>25000</v>
      </c>
      <c r="H407" s="33">
        <v>25000</v>
      </c>
      <c r="I407" s="33">
        <f>403+318+386+331+386+331+2350+403+331+386+383+403+331+283+331</f>
        <v>7356</v>
      </c>
      <c r="J407" s="33">
        <f>G407-I407</f>
        <v>17644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26">
        <f aca="true" t="shared" si="195" ref="AA407:AA414">SUM(C407+G407+K407+O407+S407+W407)</f>
        <v>25000</v>
      </c>
      <c r="AB407" s="26">
        <f aca="true" t="shared" si="196" ref="AB407:AB414">SUM(D407+H407+L407+P407+T407+X407)</f>
        <v>25000</v>
      </c>
      <c r="AC407" s="26">
        <f aca="true" t="shared" si="197" ref="AC407:AC414">SUM(E407+I407+Q407+U407+M407+Y407)</f>
        <v>7356</v>
      </c>
      <c r="AD407" s="33">
        <f>AA407-AC407</f>
        <v>17644</v>
      </c>
    </row>
    <row r="408" spans="1:30" ht="16.5">
      <c r="A408" s="8" t="s">
        <v>671</v>
      </c>
      <c r="B408" s="8" t="s">
        <v>667</v>
      </c>
      <c r="C408" s="33"/>
      <c r="D408" s="33"/>
      <c r="E408" s="33"/>
      <c r="F408" s="33"/>
      <c r="G408" s="33">
        <v>25000</v>
      </c>
      <c r="H408" s="33">
        <v>25000</v>
      </c>
      <c r="I408" s="33">
        <f>360</f>
        <v>360</v>
      </c>
      <c r="J408" s="33">
        <f>G408-I408</f>
        <v>24640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26">
        <f t="shared" si="195"/>
        <v>25000</v>
      </c>
      <c r="AB408" s="26">
        <f t="shared" si="196"/>
        <v>25000</v>
      </c>
      <c r="AC408" s="26">
        <f t="shared" si="197"/>
        <v>360</v>
      </c>
      <c r="AD408" s="33">
        <f aca="true" t="shared" si="198" ref="AD408:AD414">AA408-AC408</f>
        <v>24640</v>
      </c>
    </row>
    <row r="409" spans="1:30" ht="16.5">
      <c r="A409" s="8" t="s">
        <v>672</v>
      </c>
      <c r="B409" s="8" t="s">
        <v>673</v>
      </c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26">
        <f t="shared" si="195"/>
        <v>0</v>
      </c>
      <c r="AB409" s="26">
        <f t="shared" si="196"/>
        <v>0</v>
      </c>
      <c r="AC409" s="26">
        <f t="shared" si="197"/>
        <v>0</v>
      </c>
      <c r="AD409" s="33">
        <f t="shared" si="198"/>
        <v>0</v>
      </c>
    </row>
    <row r="410" spans="1:30" ht="16.5">
      <c r="A410" s="8" t="s">
        <v>674</v>
      </c>
      <c r="B410" s="8" t="s">
        <v>675</v>
      </c>
      <c r="C410" s="33"/>
      <c r="D410" s="33"/>
      <c r="E410" s="33"/>
      <c r="F410" s="33"/>
      <c r="G410" s="33">
        <v>610000</v>
      </c>
      <c r="H410" s="33">
        <v>610000</v>
      </c>
      <c r="I410" s="33">
        <f>8986+2369+36498+27556+25000+22109+21008</f>
        <v>143526</v>
      </c>
      <c r="J410" s="33">
        <f>G410-I410</f>
        <v>466474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26">
        <f t="shared" si="195"/>
        <v>610000</v>
      </c>
      <c r="AB410" s="26">
        <f t="shared" si="196"/>
        <v>610000</v>
      </c>
      <c r="AC410" s="26">
        <f t="shared" si="197"/>
        <v>143526</v>
      </c>
      <c r="AD410" s="33">
        <f t="shared" si="198"/>
        <v>466474</v>
      </c>
    </row>
    <row r="411" spans="1:30" ht="16.5">
      <c r="A411" s="8" t="s">
        <v>676</v>
      </c>
      <c r="B411" s="8" t="s">
        <v>677</v>
      </c>
      <c r="C411" s="33"/>
      <c r="D411" s="33"/>
      <c r="E411" s="33"/>
      <c r="F411" s="33"/>
      <c r="G411" s="33">
        <v>30000</v>
      </c>
      <c r="H411" s="33">
        <v>30000</v>
      </c>
      <c r="I411" s="33">
        <f>851+597+546+768+554+386+554+532+2500</f>
        <v>7288</v>
      </c>
      <c r="J411" s="33">
        <f>G411-I411</f>
        <v>22712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26">
        <f t="shared" si="195"/>
        <v>30000</v>
      </c>
      <c r="AB411" s="26">
        <f t="shared" si="196"/>
        <v>30000</v>
      </c>
      <c r="AC411" s="26">
        <f t="shared" si="197"/>
        <v>7288</v>
      </c>
      <c r="AD411" s="33">
        <f t="shared" si="198"/>
        <v>22712</v>
      </c>
    </row>
    <row r="412" spans="1:30" ht="16.5">
      <c r="A412" s="8" t="s">
        <v>678</v>
      </c>
      <c r="B412" s="8" t="s">
        <v>679</v>
      </c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26">
        <f t="shared" si="195"/>
        <v>0</v>
      </c>
      <c r="AB412" s="26">
        <f t="shared" si="196"/>
        <v>0</v>
      </c>
      <c r="AC412" s="26">
        <f t="shared" si="197"/>
        <v>0</v>
      </c>
      <c r="AD412" s="33">
        <f t="shared" si="198"/>
        <v>0</v>
      </c>
    </row>
    <row r="413" spans="1:30" ht="16.5">
      <c r="A413" s="8" t="s">
        <v>680</v>
      </c>
      <c r="B413" s="8" t="s">
        <v>681</v>
      </c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26">
        <f t="shared" si="195"/>
        <v>0</v>
      </c>
      <c r="AB413" s="26">
        <f t="shared" si="196"/>
        <v>0</v>
      </c>
      <c r="AC413" s="26">
        <f t="shared" si="197"/>
        <v>0</v>
      </c>
      <c r="AD413" s="33">
        <f t="shared" si="198"/>
        <v>0</v>
      </c>
    </row>
    <row r="414" spans="1:30" ht="16.5">
      <c r="A414" s="8" t="s">
        <v>682</v>
      </c>
      <c r="B414" s="8" t="s">
        <v>683</v>
      </c>
      <c r="C414" s="33"/>
      <c r="D414" s="33"/>
      <c r="E414" s="33"/>
      <c r="F414" s="33"/>
      <c r="G414" s="33">
        <v>50000</v>
      </c>
      <c r="H414" s="33">
        <v>50000</v>
      </c>
      <c r="I414" s="33">
        <f>5956+918+2150+1540+29+2259+1553+1280+3429+1056+676+1964+1362+2453+1166+1403+30592+30+870+360+4129+500+2256+662+1208+1910+6271+160+360+1964+4862+481+1543+16864+360+1865+26+2594+1008+460+1543+1953+42+2611+954+640+154+8375+480+1947+2635+940+1543</f>
        <v>134346</v>
      </c>
      <c r="J414" s="33">
        <f>G414-I414</f>
        <v>-84346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26">
        <f t="shared" si="195"/>
        <v>50000</v>
      </c>
      <c r="AB414" s="26">
        <f t="shared" si="196"/>
        <v>50000</v>
      </c>
      <c r="AC414" s="26">
        <f t="shared" si="197"/>
        <v>134346</v>
      </c>
      <c r="AD414" s="33">
        <f t="shared" si="198"/>
        <v>-84346</v>
      </c>
    </row>
    <row r="415" spans="1:30" ht="16.5">
      <c r="A415" s="7" t="s">
        <v>684</v>
      </c>
      <c r="B415" s="7" t="s">
        <v>685</v>
      </c>
      <c r="C415" s="23">
        <f>SUM(C416+C417+C418)</f>
        <v>0</v>
      </c>
      <c r="D415" s="23">
        <f aca="true" t="shared" si="199" ref="D415:AD415">SUM(D416+D417+D418)</f>
        <v>0</v>
      </c>
      <c r="E415" s="23">
        <f t="shared" si="199"/>
        <v>0</v>
      </c>
      <c r="F415" s="23"/>
      <c r="G415" s="23">
        <f t="shared" si="199"/>
        <v>0</v>
      </c>
      <c r="H415" s="23">
        <f t="shared" si="199"/>
        <v>0</v>
      </c>
      <c r="I415" s="23">
        <f t="shared" si="199"/>
        <v>0</v>
      </c>
      <c r="J415" s="23"/>
      <c r="K415" s="23">
        <f t="shared" si="199"/>
        <v>0</v>
      </c>
      <c r="L415" s="23">
        <f t="shared" si="199"/>
        <v>0</v>
      </c>
      <c r="M415" s="23">
        <f t="shared" si="199"/>
        <v>0</v>
      </c>
      <c r="N415" s="23"/>
      <c r="O415" s="23">
        <f t="shared" si="199"/>
        <v>0</v>
      </c>
      <c r="P415" s="23">
        <f t="shared" si="199"/>
        <v>0</v>
      </c>
      <c r="Q415" s="23">
        <f t="shared" si="199"/>
        <v>0</v>
      </c>
      <c r="R415" s="23"/>
      <c r="S415" s="23">
        <f t="shared" si="199"/>
        <v>0</v>
      </c>
      <c r="T415" s="23">
        <f t="shared" si="199"/>
        <v>0</v>
      </c>
      <c r="U415" s="23">
        <f t="shared" si="199"/>
        <v>0</v>
      </c>
      <c r="V415" s="23"/>
      <c r="W415" s="23">
        <f t="shared" si="199"/>
        <v>0</v>
      </c>
      <c r="X415" s="23">
        <f t="shared" si="199"/>
        <v>0</v>
      </c>
      <c r="Y415" s="23">
        <f t="shared" si="199"/>
        <v>0</v>
      </c>
      <c r="Z415" s="23"/>
      <c r="AA415" s="32">
        <f t="shared" si="199"/>
        <v>0</v>
      </c>
      <c r="AB415" s="32">
        <f t="shared" si="199"/>
        <v>0</v>
      </c>
      <c r="AC415" s="32">
        <f t="shared" si="199"/>
        <v>0</v>
      </c>
      <c r="AD415" s="23">
        <f t="shared" si="199"/>
        <v>0</v>
      </c>
    </row>
    <row r="416" spans="1:30" ht="16.5">
      <c r="A416" s="8" t="s">
        <v>686</v>
      </c>
      <c r="B416" s="8" t="s">
        <v>665</v>
      </c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26">
        <f aca="true" t="shared" si="200" ref="AA416:AB418">SUM(C416+G416+K416+O416+S416+W416)</f>
        <v>0</v>
      </c>
      <c r="AB416" s="26">
        <f t="shared" si="200"/>
        <v>0</v>
      </c>
      <c r="AC416" s="26">
        <f>SUM(E416+I416+Q416+U416+M416+Y416)</f>
        <v>0</v>
      </c>
      <c r="AD416" s="33"/>
    </row>
    <row r="417" spans="1:30" ht="16.5">
      <c r="A417" s="8" t="s">
        <v>687</v>
      </c>
      <c r="B417" s="8" t="s">
        <v>667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26">
        <f t="shared" si="200"/>
        <v>0</v>
      </c>
      <c r="AB417" s="26">
        <f t="shared" si="200"/>
        <v>0</v>
      </c>
      <c r="AC417" s="26">
        <f>SUM(E417+I417+Q417+U417+M417+Y417)</f>
        <v>0</v>
      </c>
      <c r="AD417" s="33"/>
    </row>
    <row r="418" spans="1:30" ht="16.5">
      <c r="A418" s="8" t="s">
        <v>688</v>
      </c>
      <c r="B418" s="8" t="s">
        <v>689</v>
      </c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26">
        <f t="shared" si="200"/>
        <v>0</v>
      </c>
      <c r="AB418" s="26">
        <f t="shared" si="200"/>
        <v>0</v>
      </c>
      <c r="AC418" s="26">
        <f>SUM(E418+I418+Q418+U418+M418+Y418)</f>
        <v>0</v>
      </c>
      <c r="AD418" s="33"/>
    </row>
    <row r="419" spans="1:30" ht="16.5">
      <c r="A419" s="6" t="s">
        <v>690</v>
      </c>
      <c r="B419" s="6" t="s">
        <v>691</v>
      </c>
      <c r="C419" s="22">
        <f>SUM(C420+C421+C422+C423)</f>
        <v>0</v>
      </c>
      <c r="D419" s="22">
        <f aca="true" t="shared" si="201" ref="D419:AD419">SUM(D420+D421+D422+D423)</f>
        <v>0</v>
      </c>
      <c r="E419" s="22">
        <f t="shared" si="201"/>
        <v>0</v>
      </c>
      <c r="F419" s="22"/>
      <c r="G419" s="22">
        <f t="shared" si="201"/>
        <v>0</v>
      </c>
      <c r="H419" s="22">
        <f t="shared" si="201"/>
        <v>0</v>
      </c>
      <c r="I419" s="22">
        <f t="shared" si="201"/>
        <v>0</v>
      </c>
      <c r="J419" s="22"/>
      <c r="K419" s="22">
        <f t="shared" si="201"/>
        <v>0</v>
      </c>
      <c r="L419" s="22">
        <f t="shared" si="201"/>
        <v>0</v>
      </c>
      <c r="M419" s="22">
        <f t="shared" si="201"/>
        <v>0</v>
      </c>
      <c r="N419" s="22"/>
      <c r="O419" s="22">
        <f t="shared" si="201"/>
        <v>0</v>
      </c>
      <c r="P419" s="22">
        <f t="shared" si="201"/>
        <v>0</v>
      </c>
      <c r="Q419" s="22">
        <f t="shared" si="201"/>
        <v>0</v>
      </c>
      <c r="R419" s="22"/>
      <c r="S419" s="22">
        <f t="shared" si="201"/>
        <v>0</v>
      </c>
      <c r="T419" s="22">
        <f t="shared" si="201"/>
        <v>0</v>
      </c>
      <c r="U419" s="22">
        <f t="shared" si="201"/>
        <v>0</v>
      </c>
      <c r="V419" s="22"/>
      <c r="W419" s="22">
        <f t="shared" si="201"/>
        <v>0</v>
      </c>
      <c r="X419" s="22">
        <f t="shared" si="201"/>
        <v>0</v>
      </c>
      <c r="Y419" s="22">
        <f t="shared" si="201"/>
        <v>0</v>
      </c>
      <c r="Z419" s="22"/>
      <c r="AA419" s="34">
        <f t="shared" si="201"/>
        <v>0</v>
      </c>
      <c r="AB419" s="34">
        <f t="shared" si="201"/>
        <v>0</v>
      </c>
      <c r="AC419" s="34">
        <f t="shared" si="201"/>
        <v>0</v>
      </c>
      <c r="AD419" s="22">
        <f t="shared" si="201"/>
        <v>0</v>
      </c>
    </row>
    <row r="420" spans="1:30" ht="16.5">
      <c r="A420" s="7" t="s">
        <v>692</v>
      </c>
      <c r="B420" s="7" t="s">
        <v>693</v>
      </c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26">
        <f aca="true" t="shared" si="202" ref="AA420:AB423">SUM(C420+G420+K420+O420+S420+W420)</f>
        <v>0</v>
      </c>
      <c r="AB420" s="26">
        <f t="shared" si="202"/>
        <v>0</v>
      </c>
      <c r="AC420" s="26">
        <f>SUM(E420+I420+Q420+U420+M420+Y420)</f>
        <v>0</v>
      </c>
      <c r="AD420" s="33"/>
    </row>
    <row r="421" spans="1:30" ht="16.5">
      <c r="A421" s="7" t="s">
        <v>694</v>
      </c>
      <c r="B421" s="7" t="s">
        <v>695</v>
      </c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26">
        <f t="shared" si="202"/>
        <v>0</v>
      </c>
      <c r="AB421" s="26">
        <f t="shared" si="202"/>
        <v>0</v>
      </c>
      <c r="AC421" s="26">
        <f>SUM(E421+I421+Q421+U421+M421+Y421)</f>
        <v>0</v>
      </c>
      <c r="AD421" s="33"/>
    </row>
    <row r="422" spans="1:30" ht="16.5">
      <c r="A422" s="7" t="s">
        <v>696</v>
      </c>
      <c r="B422" s="7" t="s">
        <v>697</v>
      </c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26">
        <f t="shared" si="202"/>
        <v>0</v>
      </c>
      <c r="AB422" s="26">
        <f t="shared" si="202"/>
        <v>0</v>
      </c>
      <c r="AC422" s="26">
        <f>SUM(E422+I422+Q422+U422+M422+Y422)</f>
        <v>0</v>
      </c>
      <c r="AD422" s="33"/>
    </row>
    <row r="423" spans="1:30" ht="16.5">
      <c r="A423" s="7" t="s">
        <v>781</v>
      </c>
      <c r="B423" s="7" t="s">
        <v>699</v>
      </c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26">
        <f t="shared" si="202"/>
        <v>0</v>
      </c>
      <c r="AB423" s="26">
        <f t="shared" si="202"/>
        <v>0</v>
      </c>
      <c r="AC423" s="26">
        <f>SUM(E423+I423+Q423+U423+M423+Y423)</f>
        <v>0</v>
      </c>
      <c r="AD423" s="33"/>
    </row>
    <row r="424" spans="1:30" ht="16.5">
      <c r="A424" s="6" t="s">
        <v>700</v>
      </c>
      <c r="B424" s="6" t="s">
        <v>701</v>
      </c>
      <c r="C424" s="22">
        <f>SUM(C425+C426)</f>
        <v>0</v>
      </c>
      <c r="D424" s="22">
        <f aca="true" t="shared" si="203" ref="D424:AD424">SUM(D425+D426)</f>
        <v>0</v>
      </c>
      <c r="E424" s="22">
        <f t="shared" si="203"/>
        <v>0</v>
      </c>
      <c r="F424" s="22"/>
      <c r="G424" s="22">
        <f t="shared" si="203"/>
        <v>0</v>
      </c>
      <c r="H424" s="22">
        <f t="shared" si="203"/>
        <v>0</v>
      </c>
      <c r="I424" s="22">
        <f t="shared" si="203"/>
        <v>0</v>
      </c>
      <c r="J424" s="22"/>
      <c r="K424" s="22">
        <f t="shared" si="203"/>
        <v>0</v>
      </c>
      <c r="L424" s="22">
        <f t="shared" si="203"/>
        <v>0</v>
      </c>
      <c r="M424" s="22">
        <f t="shared" si="203"/>
        <v>0</v>
      </c>
      <c r="N424" s="22"/>
      <c r="O424" s="22">
        <f t="shared" si="203"/>
        <v>0</v>
      </c>
      <c r="P424" s="22">
        <f t="shared" si="203"/>
        <v>0</v>
      </c>
      <c r="Q424" s="22">
        <f t="shared" si="203"/>
        <v>0</v>
      </c>
      <c r="R424" s="22"/>
      <c r="S424" s="22">
        <f t="shared" si="203"/>
        <v>0</v>
      </c>
      <c r="T424" s="22">
        <f t="shared" si="203"/>
        <v>0</v>
      </c>
      <c r="U424" s="22">
        <f t="shared" si="203"/>
        <v>0</v>
      </c>
      <c r="V424" s="22"/>
      <c r="W424" s="22">
        <f t="shared" si="203"/>
        <v>0</v>
      </c>
      <c r="X424" s="22">
        <f t="shared" si="203"/>
        <v>0</v>
      </c>
      <c r="Y424" s="22">
        <f t="shared" si="203"/>
        <v>0</v>
      </c>
      <c r="Z424" s="22"/>
      <c r="AA424" s="34">
        <f t="shared" si="203"/>
        <v>0</v>
      </c>
      <c r="AB424" s="34">
        <f t="shared" si="203"/>
        <v>0</v>
      </c>
      <c r="AC424" s="34">
        <f t="shared" si="203"/>
        <v>0</v>
      </c>
      <c r="AD424" s="22">
        <f t="shared" si="203"/>
        <v>0</v>
      </c>
    </row>
    <row r="425" spans="1:30" ht="16.5">
      <c r="A425" s="7" t="s">
        <v>702</v>
      </c>
      <c r="B425" s="7" t="s">
        <v>528</v>
      </c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26">
        <f>SUM(C425+G425+K425+O425+S425+W425)</f>
        <v>0</v>
      </c>
      <c r="AB425" s="26">
        <f>SUM(D425+H425+L425+P425+T425+X425)</f>
        <v>0</v>
      </c>
      <c r="AC425" s="26">
        <f>SUM(E425+I425+Q425+U425+M425+Y425)</f>
        <v>0</v>
      </c>
      <c r="AD425" s="33"/>
    </row>
    <row r="426" spans="1:30" ht="16.5">
      <c r="A426" s="7" t="s">
        <v>703</v>
      </c>
      <c r="B426" s="7" t="s">
        <v>548</v>
      </c>
      <c r="C426" s="23">
        <f>SUM(C427+C432)</f>
        <v>0</v>
      </c>
      <c r="D426" s="23">
        <f aca="true" t="shared" si="204" ref="D426:AD426">SUM(D427+D432)</f>
        <v>0</v>
      </c>
      <c r="E426" s="23">
        <f t="shared" si="204"/>
        <v>0</v>
      </c>
      <c r="F426" s="23"/>
      <c r="G426" s="23">
        <f t="shared" si="204"/>
        <v>0</v>
      </c>
      <c r="H426" s="23">
        <f t="shared" si="204"/>
        <v>0</v>
      </c>
      <c r="I426" s="23">
        <f t="shared" si="204"/>
        <v>0</v>
      </c>
      <c r="J426" s="23"/>
      <c r="K426" s="23">
        <f t="shared" si="204"/>
        <v>0</v>
      </c>
      <c r="L426" s="23">
        <f t="shared" si="204"/>
        <v>0</v>
      </c>
      <c r="M426" s="23">
        <f t="shared" si="204"/>
        <v>0</v>
      </c>
      <c r="N426" s="23"/>
      <c r="O426" s="23">
        <f t="shared" si="204"/>
        <v>0</v>
      </c>
      <c r="P426" s="23">
        <f t="shared" si="204"/>
        <v>0</v>
      </c>
      <c r="Q426" s="23">
        <f t="shared" si="204"/>
        <v>0</v>
      </c>
      <c r="R426" s="23"/>
      <c r="S426" s="23">
        <f t="shared" si="204"/>
        <v>0</v>
      </c>
      <c r="T426" s="23">
        <f t="shared" si="204"/>
        <v>0</v>
      </c>
      <c r="U426" s="23">
        <f t="shared" si="204"/>
        <v>0</v>
      </c>
      <c r="V426" s="23"/>
      <c r="W426" s="23">
        <f t="shared" si="204"/>
        <v>0</v>
      </c>
      <c r="X426" s="23">
        <f t="shared" si="204"/>
        <v>0</v>
      </c>
      <c r="Y426" s="23">
        <f t="shared" si="204"/>
        <v>0</v>
      </c>
      <c r="Z426" s="23"/>
      <c r="AA426" s="32">
        <f t="shared" si="204"/>
        <v>0</v>
      </c>
      <c r="AB426" s="32">
        <f t="shared" si="204"/>
        <v>0</v>
      </c>
      <c r="AC426" s="32">
        <f t="shared" si="204"/>
        <v>0</v>
      </c>
      <c r="AD426" s="23">
        <f t="shared" si="204"/>
        <v>0</v>
      </c>
    </row>
    <row r="427" spans="1:30" ht="16.5">
      <c r="A427" s="8" t="s">
        <v>704</v>
      </c>
      <c r="B427" s="8" t="s">
        <v>705</v>
      </c>
      <c r="C427" s="24">
        <f>SUM(C428+C429+C430+C431)</f>
        <v>0</v>
      </c>
      <c r="D427" s="24">
        <f aca="true" t="shared" si="205" ref="D427:AD427">SUM(D428+D429+D430+D431)</f>
        <v>0</v>
      </c>
      <c r="E427" s="24">
        <f t="shared" si="205"/>
        <v>0</v>
      </c>
      <c r="F427" s="24"/>
      <c r="G427" s="24">
        <f t="shared" si="205"/>
        <v>0</v>
      </c>
      <c r="H427" s="24">
        <f t="shared" si="205"/>
        <v>0</v>
      </c>
      <c r="I427" s="24">
        <f t="shared" si="205"/>
        <v>0</v>
      </c>
      <c r="J427" s="24"/>
      <c r="K427" s="24">
        <f t="shared" si="205"/>
        <v>0</v>
      </c>
      <c r="L427" s="24">
        <f t="shared" si="205"/>
        <v>0</v>
      </c>
      <c r="M427" s="24">
        <f t="shared" si="205"/>
        <v>0</v>
      </c>
      <c r="N427" s="24"/>
      <c r="O427" s="24">
        <f t="shared" si="205"/>
        <v>0</v>
      </c>
      <c r="P427" s="24">
        <f t="shared" si="205"/>
        <v>0</v>
      </c>
      <c r="Q427" s="24">
        <f t="shared" si="205"/>
        <v>0</v>
      </c>
      <c r="R427" s="24"/>
      <c r="S427" s="24">
        <f t="shared" si="205"/>
        <v>0</v>
      </c>
      <c r="T427" s="24">
        <f t="shared" si="205"/>
        <v>0</v>
      </c>
      <c r="U427" s="24">
        <f t="shared" si="205"/>
        <v>0</v>
      </c>
      <c r="V427" s="24"/>
      <c r="W427" s="24">
        <f t="shared" si="205"/>
        <v>0</v>
      </c>
      <c r="X427" s="24">
        <f t="shared" si="205"/>
        <v>0</v>
      </c>
      <c r="Y427" s="24">
        <f t="shared" si="205"/>
        <v>0</v>
      </c>
      <c r="Z427" s="24"/>
      <c r="AA427" s="31">
        <f t="shared" si="205"/>
        <v>0</v>
      </c>
      <c r="AB427" s="31">
        <f t="shared" si="205"/>
        <v>0</v>
      </c>
      <c r="AC427" s="31">
        <f t="shared" si="205"/>
        <v>0</v>
      </c>
      <c r="AD427" s="24">
        <f t="shared" si="205"/>
        <v>0</v>
      </c>
    </row>
    <row r="428" spans="1:30" ht="16.5">
      <c r="A428" s="5" t="s">
        <v>706</v>
      </c>
      <c r="B428" s="5" t="s">
        <v>707</v>
      </c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6">
        <f aca="true" t="shared" si="206" ref="AA428:AB432">SUM(C428+G428+K428+O428+S428+W428)</f>
        <v>0</v>
      </c>
      <c r="AB428" s="26">
        <f t="shared" si="206"/>
        <v>0</v>
      </c>
      <c r="AC428" s="26">
        <f>SUM(E428+I428+Q428+U428+M428+Y428)</f>
        <v>0</v>
      </c>
      <c r="AD428" s="25"/>
    </row>
    <row r="429" spans="1:30" ht="16.5">
      <c r="A429" s="5" t="s">
        <v>708</v>
      </c>
      <c r="B429" s="5" t="s">
        <v>709</v>
      </c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6">
        <f t="shared" si="206"/>
        <v>0</v>
      </c>
      <c r="AB429" s="26">
        <f t="shared" si="206"/>
        <v>0</v>
      </c>
      <c r="AC429" s="26">
        <f>SUM(E429+I429+Q429+U429+M429+Y429)</f>
        <v>0</v>
      </c>
      <c r="AD429" s="25"/>
    </row>
    <row r="430" spans="1:30" ht="16.5">
      <c r="A430" s="5" t="s">
        <v>710</v>
      </c>
      <c r="B430" s="5" t="s">
        <v>711</v>
      </c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6">
        <f t="shared" si="206"/>
        <v>0</v>
      </c>
      <c r="AB430" s="26">
        <f t="shared" si="206"/>
        <v>0</v>
      </c>
      <c r="AC430" s="26">
        <f>SUM(E430+I430+Q430+U430+M430+Y430)</f>
        <v>0</v>
      </c>
      <c r="AD430" s="25"/>
    </row>
    <row r="431" spans="1:30" ht="16.5">
      <c r="A431" s="5" t="s">
        <v>712</v>
      </c>
      <c r="B431" s="5" t="s">
        <v>713</v>
      </c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6">
        <f t="shared" si="206"/>
        <v>0</v>
      </c>
      <c r="AB431" s="26">
        <f t="shared" si="206"/>
        <v>0</v>
      </c>
      <c r="AC431" s="26">
        <f>SUM(E431+I431+Q431+U431+M431+Y431)</f>
        <v>0</v>
      </c>
      <c r="AD431" s="25"/>
    </row>
    <row r="432" spans="1:30" ht="16.5">
      <c r="A432" s="8" t="s">
        <v>782</v>
      </c>
      <c r="B432" s="8" t="s">
        <v>579</v>
      </c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26">
        <f t="shared" si="206"/>
        <v>0</v>
      </c>
      <c r="AB432" s="26">
        <f t="shared" si="206"/>
        <v>0</v>
      </c>
      <c r="AC432" s="26">
        <f>SUM(E432+I432+Q432+U432+M432+Y432)</f>
        <v>0</v>
      </c>
      <c r="AD432" s="33"/>
    </row>
    <row r="433" spans="1:30" ht="16.5">
      <c r="A433" s="6" t="s">
        <v>715</v>
      </c>
      <c r="B433" s="6" t="s">
        <v>716</v>
      </c>
      <c r="C433" s="22">
        <f>SUM(C434+C437+C440+C443)</f>
        <v>500</v>
      </c>
      <c r="D433" s="22">
        <f aca="true" t="shared" si="207" ref="D433:AD433">SUM(D434+D437+D440+D443)</f>
        <v>500</v>
      </c>
      <c r="E433" s="22">
        <f t="shared" si="207"/>
        <v>0</v>
      </c>
      <c r="F433" s="22"/>
      <c r="G433" s="22">
        <f t="shared" si="207"/>
        <v>0</v>
      </c>
      <c r="H433" s="22">
        <f t="shared" si="207"/>
        <v>0</v>
      </c>
      <c r="I433" s="22">
        <f t="shared" si="207"/>
        <v>0</v>
      </c>
      <c r="J433" s="22"/>
      <c r="K433" s="22">
        <f t="shared" si="207"/>
        <v>0</v>
      </c>
      <c r="L433" s="22">
        <f t="shared" si="207"/>
        <v>0</v>
      </c>
      <c r="M433" s="22">
        <f t="shared" si="207"/>
        <v>0</v>
      </c>
      <c r="N433" s="22"/>
      <c r="O433" s="22">
        <f t="shared" si="207"/>
        <v>0</v>
      </c>
      <c r="P433" s="22">
        <f t="shared" si="207"/>
        <v>0</v>
      </c>
      <c r="Q433" s="22">
        <f t="shared" si="207"/>
        <v>0</v>
      </c>
      <c r="R433" s="22"/>
      <c r="S433" s="22">
        <f t="shared" si="207"/>
        <v>0</v>
      </c>
      <c r="T433" s="22">
        <f t="shared" si="207"/>
        <v>0</v>
      </c>
      <c r="U433" s="22">
        <f t="shared" si="207"/>
        <v>0</v>
      </c>
      <c r="V433" s="22"/>
      <c r="W433" s="22">
        <f t="shared" si="207"/>
        <v>0</v>
      </c>
      <c r="X433" s="22">
        <f t="shared" si="207"/>
        <v>0</v>
      </c>
      <c r="Y433" s="22">
        <f t="shared" si="207"/>
        <v>0</v>
      </c>
      <c r="Z433" s="22"/>
      <c r="AA433" s="34">
        <f t="shared" si="207"/>
        <v>500</v>
      </c>
      <c r="AB433" s="34">
        <f t="shared" si="207"/>
        <v>500</v>
      </c>
      <c r="AC433" s="34">
        <f t="shared" si="207"/>
        <v>0</v>
      </c>
      <c r="AD433" s="22">
        <f t="shared" si="207"/>
        <v>500</v>
      </c>
    </row>
    <row r="434" spans="1:30" ht="16.5">
      <c r="A434" s="7" t="s">
        <v>717</v>
      </c>
      <c r="B434" s="7" t="s">
        <v>718</v>
      </c>
      <c r="C434" s="23">
        <f>SUM(C435+C436)</f>
        <v>0</v>
      </c>
      <c r="D434" s="23">
        <f aca="true" t="shared" si="208" ref="D434:AD434">SUM(D435+D436)</f>
        <v>0</v>
      </c>
      <c r="E434" s="23">
        <f t="shared" si="208"/>
        <v>0</v>
      </c>
      <c r="F434" s="23"/>
      <c r="G434" s="23">
        <f t="shared" si="208"/>
        <v>0</v>
      </c>
      <c r="H434" s="23">
        <f t="shared" si="208"/>
        <v>0</v>
      </c>
      <c r="I434" s="23">
        <f t="shared" si="208"/>
        <v>0</v>
      </c>
      <c r="J434" s="23"/>
      <c r="K434" s="23">
        <f t="shared" si="208"/>
        <v>0</v>
      </c>
      <c r="L434" s="23">
        <f t="shared" si="208"/>
        <v>0</v>
      </c>
      <c r="M434" s="23">
        <f t="shared" si="208"/>
        <v>0</v>
      </c>
      <c r="N434" s="23"/>
      <c r="O434" s="23">
        <f t="shared" si="208"/>
        <v>0</v>
      </c>
      <c r="P434" s="23">
        <f t="shared" si="208"/>
        <v>0</v>
      </c>
      <c r="Q434" s="23">
        <f t="shared" si="208"/>
        <v>0</v>
      </c>
      <c r="R434" s="23"/>
      <c r="S434" s="23">
        <f t="shared" si="208"/>
        <v>0</v>
      </c>
      <c r="T434" s="23">
        <f t="shared" si="208"/>
        <v>0</v>
      </c>
      <c r="U434" s="23">
        <f t="shared" si="208"/>
        <v>0</v>
      </c>
      <c r="V434" s="23"/>
      <c r="W434" s="23">
        <f t="shared" si="208"/>
        <v>0</v>
      </c>
      <c r="X434" s="23">
        <f t="shared" si="208"/>
        <v>0</v>
      </c>
      <c r="Y434" s="23">
        <f t="shared" si="208"/>
        <v>0</v>
      </c>
      <c r="Z434" s="23"/>
      <c r="AA434" s="32">
        <f t="shared" si="208"/>
        <v>0</v>
      </c>
      <c r="AB434" s="32">
        <f t="shared" si="208"/>
        <v>0</v>
      </c>
      <c r="AC434" s="32">
        <f t="shared" si="208"/>
        <v>0</v>
      </c>
      <c r="AD434" s="23">
        <f t="shared" si="208"/>
        <v>0</v>
      </c>
    </row>
    <row r="435" spans="1:30" ht="16.5">
      <c r="A435" s="8" t="s">
        <v>719</v>
      </c>
      <c r="B435" s="8" t="s">
        <v>720</v>
      </c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26">
        <f>SUM(C435+G435+K435+O435+S435+W435)</f>
        <v>0</v>
      </c>
      <c r="AB435" s="26">
        <f>SUM(D435+H435+L435+P435+T435+X435)</f>
        <v>0</v>
      </c>
      <c r="AC435" s="26">
        <f>SUM(E435+I435+Q435+U435+M435+Y435)</f>
        <v>0</v>
      </c>
      <c r="AD435" s="33"/>
    </row>
    <row r="436" spans="1:30" ht="16.5">
      <c r="A436" s="8" t="s">
        <v>721</v>
      </c>
      <c r="B436" s="8" t="s">
        <v>722</v>
      </c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26">
        <f>SUM(C436+G436+K436+O436+S436+W436)</f>
        <v>0</v>
      </c>
      <c r="AB436" s="26">
        <f>SUM(D436+H436+L436+P436+T436+X436)</f>
        <v>0</v>
      </c>
      <c r="AC436" s="26">
        <f>SUM(E436+I436+Q436+U436+M436+Y436)</f>
        <v>0</v>
      </c>
      <c r="AD436" s="33"/>
    </row>
    <row r="437" spans="1:30" ht="16.5">
      <c r="A437" s="7" t="s">
        <v>723</v>
      </c>
      <c r="B437" s="7" t="s">
        <v>724</v>
      </c>
      <c r="C437" s="23">
        <f>SUM(C438+C439)</f>
        <v>0</v>
      </c>
      <c r="D437" s="23">
        <f aca="true" t="shared" si="209" ref="D437:AD437">SUM(D438+D439)</f>
        <v>0</v>
      </c>
      <c r="E437" s="23">
        <f t="shared" si="209"/>
        <v>0</v>
      </c>
      <c r="F437" s="23"/>
      <c r="G437" s="23">
        <f t="shared" si="209"/>
        <v>0</v>
      </c>
      <c r="H437" s="23">
        <f t="shared" si="209"/>
        <v>0</v>
      </c>
      <c r="I437" s="23">
        <f t="shared" si="209"/>
        <v>0</v>
      </c>
      <c r="J437" s="23"/>
      <c r="K437" s="23">
        <f t="shared" si="209"/>
        <v>0</v>
      </c>
      <c r="L437" s="23">
        <f t="shared" si="209"/>
        <v>0</v>
      </c>
      <c r="M437" s="23">
        <f t="shared" si="209"/>
        <v>0</v>
      </c>
      <c r="N437" s="23"/>
      <c r="O437" s="23">
        <f t="shared" si="209"/>
        <v>0</v>
      </c>
      <c r="P437" s="23">
        <f t="shared" si="209"/>
        <v>0</v>
      </c>
      <c r="Q437" s="23">
        <f t="shared" si="209"/>
        <v>0</v>
      </c>
      <c r="R437" s="23"/>
      <c r="S437" s="23">
        <f t="shared" si="209"/>
        <v>0</v>
      </c>
      <c r="T437" s="23">
        <f t="shared" si="209"/>
        <v>0</v>
      </c>
      <c r="U437" s="23">
        <f t="shared" si="209"/>
        <v>0</v>
      </c>
      <c r="V437" s="23"/>
      <c r="W437" s="23">
        <f t="shared" si="209"/>
        <v>0</v>
      </c>
      <c r="X437" s="23">
        <f t="shared" si="209"/>
        <v>0</v>
      </c>
      <c r="Y437" s="23">
        <f t="shared" si="209"/>
        <v>0</v>
      </c>
      <c r="Z437" s="23"/>
      <c r="AA437" s="32">
        <f t="shared" si="209"/>
        <v>0</v>
      </c>
      <c r="AB437" s="32">
        <f t="shared" si="209"/>
        <v>0</v>
      </c>
      <c r="AC437" s="32">
        <f t="shared" si="209"/>
        <v>0</v>
      </c>
      <c r="AD437" s="23">
        <f t="shared" si="209"/>
        <v>0</v>
      </c>
    </row>
    <row r="438" spans="1:30" ht="16.5">
      <c r="A438" s="8" t="s">
        <v>725</v>
      </c>
      <c r="B438" s="8" t="s">
        <v>720</v>
      </c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26">
        <f>SUM(C438+G438+K438+O438+S438+W438)</f>
        <v>0</v>
      </c>
      <c r="AB438" s="26">
        <f>SUM(D438+H438+L438+P438+T438+X438)</f>
        <v>0</v>
      </c>
      <c r="AC438" s="26">
        <f>SUM(E438+I438+Q438+U438+M438+Y438)</f>
        <v>0</v>
      </c>
      <c r="AD438" s="33"/>
    </row>
    <row r="439" spans="1:30" ht="16.5">
      <c r="A439" s="8" t="s">
        <v>726</v>
      </c>
      <c r="B439" s="8" t="s">
        <v>722</v>
      </c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26">
        <f>SUM(C439+G439+K439+O439+S439+W439)</f>
        <v>0</v>
      </c>
      <c r="AB439" s="26">
        <f>SUM(D439+H439+L439+P439+T439+X439)</f>
        <v>0</v>
      </c>
      <c r="AC439" s="26">
        <f>SUM(E439+I439+Q439+U439+M439+Y439)</f>
        <v>0</v>
      </c>
      <c r="AD439" s="33"/>
    </row>
    <row r="440" spans="1:30" ht="16.5">
      <c r="A440" s="7" t="s">
        <v>727</v>
      </c>
      <c r="B440" s="7" t="s">
        <v>728</v>
      </c>
      <c r="C440" s="23">
        <f>SUM(C441+C442)</f>
        <v>0</v>
      </c>
      <c r="D440" s="23">
        <f aca="true" t="shared" si="210" ref="D440:AD440">SUM(D441+D442)</f>
        <v>0</v>
      </c>
      <c r="E440" s="23">
        <f t="shared" si="210"/>
        <v>0</v>
      </c>
      <c r="F440" s="23"/>
      <c r="G440" s="23">
        <f t="shared" si="210"/>
        <v>0</v>
      </c>
      <c r="H440" s="23">
        <f t="shared" si="210"/>
        <v>0</v>
      </c>
      <c r="I440" s="23">
        <f t="shared" si="210"/>
        <v>0</v>
      </c>
      <c r="J440" s="23"/>
      <c r="K440" s="23">
        <f t="shared" si="210"/>
        <v>0</v>
      </c>
      <c r="L440" s="23">
        <f t="shared" si="210"/>
        <v>0</v>
      </c>
      <c r="M440" s="23">
        <f t="shared" si="210"/>
        <v>0</v>
      </c>
      <c r="N440" s="23"/>
      <c r="O440" s="23">
        <f t="shared" si="210"/>
        <v>0</v>
      </c>
      <c r="P440" s="23">
        <f t="shared" si="210"/>
        <v>0</v>
      </c>
      <c r="Q440" s="23">
        <f t="shared" si="210"/>
        <v>0</v>
      </c>
      <c r="R440" s="23"/>
      <c r="S440" s="23">
        <f t="shared" si="210"/>
        <v>0</v>
      </c>
      <c r="T440" s="23">
        <f t="shared" si="210"/>
        <v>0</v>
      </c>
      <c r="U440" s="23">
        <f t="shared" si="210"/>
        <v>0</v>
      </c>
      <c r="V440" s="23"/>
      <c r="W440" s="23">
        <f t="shared" si="210"/>
        <v>0</v>
      </c>
      <c r="X440" s="23">
        <f t="shared" si="210"/>
        <v>0</v>
      </c>
      <c r="Y440" s="23">
        <f t="shared" si="210"/>
        <v>0</v>
      </c>
      <c r="Z440" s="23"/>
      <c r="AA440" s="32">
        <f t="shared" si="210"/>
        <v>0</v>
      </c>
      <c r="AB440" s="32">
        <f t="shared" si="210"/>
        <v>0</v>
      </c>
      <c r="AC440" s="32">
        <f t="shared" si="210"/>
        <v>0</v>
      </c>
      <c r="AD440" s="23">
        <f t="shared" si="210"/>
        <v>0</v>
      </c>
    </row>
    <row r="441" spans="1:30" ht="16.5">
      <c r="A441" s="8" t="s">
        <v>729</v>
      </c>
      <c r="B441" s="8" t="s">
        <v>720</v>
      </c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26">
        <f aca="true" t="shared" si="211" ref="AA441:AB444">SUM(C441+G441+K441+O441+S441+W441)</f>
        <v>0</v>
      </c>
      <c r="AB441" s="26">
        <f t="shared" si="211"/>
        <v>0</v>
      </c>
      <c r="AC441" s="26">
        <f>SUM(E441+I441+Q441+U441+M441+Y441)</f>
        <v>0</v>
      </c>
      <c r="AD441" s="33"/>
    </row>
    <row r="442" spans="1:30" ht="16.5">
      <c r="A442" s="8" t="s">
        <v>730</v>
      </c>
      <c r="B442" s="8" t="s">
        <v>722</v>
      </c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26">
        <f t="shared" si="211"/>
        <v>0</v>
      </c>
      <c r="AB442" s="26">
        <f t="shared" si="211"/>
        <v>0</v>
      </c>
      <c r="AC442" s="26">
        <f>SUM(E442+I442+Q442+U442+M442+Y442)</f>
        <v>0</v>
      </c>
      <c r="AD442" s="33"/>
    </row>
    <row r="443" spans="1:30" ht="16.5">
      <c r="A443" s="7" t="s">
        <v>731</v>
      </c>
      <c r="B443" s="7" t="s">
        <v>732</v>
      </c>
      <c r="C443" s="33">
        <v>500</v>
      </c>
      <c r="D443" s="33">
        <v>500</v>
      </c>
      <c r="E443" s="33"/>
      <c r="F443" s="33">
        <f>C443-E443</f>
        <v>500</v>
      </c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26">
        <f t="shared" si="211"/>
        <v>500</v>
      </c>
      <c r="AB443" s="26">
        <f t="shared" si="211"/>
        <v>500</v>
      </c>
      <c r="AC443" s="26">
        <f>SUM(E443+I443+Q443+U443+M443+Y443)</f>
        <v>0</v>
      </c>
      <c r="AD443" s="33">
        <f>AA443-AC443</f>
        <v>500</v>
      </c>
    </row>
    <row r="444" spans="1:30" ht="16.5">
      <c r="A444" s="6" t="s">
        <v>733</v>
      </c>
      <c r="B444" s="6" t="s">
        <v>734</v>
      </c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26">
        <f t="shared" si="211"/>
        <v>0</v>
      </c>
      <c r="AB444" s="26">
        <f t="shared" si="211"/>
        <v>0</v>
      </c>
      <c r="AC444" s="26">
        <f>SUM(E444+I444+Q444+U444+M444+Y444)</f>
        <v>0</v>
      </c>
      <c r="AD444" s="33"/>
    </row>
    <row r="448" spans="2:30" ht="15">
      <c r="B448" s="41" t="s">
        <v>809</v>
      </c>
      <c r="C448" s="42">
        <f>C3+C224+C319+C325+C368+C370+C377+C393+C402+C419+C424+C433+C444</f>
        <v>2447800</v>
      </c>
      <c r="D448" s="42">
        <f aca="true" t="shared" si="212" ref="D448:AD448">D3+D224+D319+D325+D368+D370+D377+D393+D402+D419+D424+D433+D444</f>
        <v>2447800</v>
      </c>
      <c r="E448" s="42">
        <f t="shared" si="212"/>
        <v>1288465</v>
      </c>
      <c r="F448" s="42"/>
      <c r="G448" s="42">
        <f t="shared" si="212"/>
        <v>1214900</v>
      </c>
      <c r="H448" s="42">
        <f t="shared" si="212"/>
        <v>1214900</v>
      </c>
      <c r="I448" s="42">
        <f t="shared" si="212"/>
        <v>398434</v>
      </c>
      <c r="J448" s="42"/>
      <c r="K448" s="42">
        <f t="shared" si="212"/>
        <v>223600</v>
      </c>
      <c r="L448" s="42">
        <f t="shared" si="212"/>
        <v>223600</v>
      </c>
      <c r="M448" s="42">
        <f t="shared" si="212"/>
        <v>192165</v>
      </c>
      <c r="N448" s="42"/>
      <c r="O448" s="42">
        <f t="shared" si="212"/>
        <v>136200</v>
      </c>
      <c r="P448" s="42">
        <f t="shared" si="212"/>
        <v>136200</v>
      </c>
      <c r="Q448" s="42">
        <f t="shared" si="212"/>
        <v>44776</v>
      </c>
      <c r="R448" s="42"/>
      <c r="S448" s="42">
        <f t="shared" si="212"/>
        <v>15000</v>
      </c>
      <c r="T448" s="42">
        <f t="shared" si="212"/>
        <v>15000</v>
      </c>
      <c r="U448" s="42">
        <f t="shared" si="212"/>
        <v>0</v>
      </c>
      <c r="V448" s="42"/>
      <c r="W448" s="42">
        <f t="shared" si="212"/>
        <v>35000</v>
      </c>
      <c r="X448" s="42">
        <f t="shared" si="212"/>
        <v>35000</v>
      </c>
      <c r="Y448" s="42">
        <f t="shared" si="212"/>
        <v>0</v>
      </c>
      <c r="Z448" s="42"/>
      <c r="AA448" s="42">
        <f t="shared" si="212"/>
        <v>4072500</v>
      </c>
      <c r="AB448" s="42">
        <f t="shared" si="212"/>
        <v>4072500</v>
      </c>
      <c r="AC448" s="42">
        <f t="shared" si="212"/>
        <v>1923840</v>
      </c>
      <c r="AD448" s="42">
        <f t="shared" si="212"/>
        <v>2148660</v>
      </c>
    </row>
  </sheetData>
  <sheetProtection password="CC1E" sheet="1" formatCells="0" formatColumns="0" formatRows="0" insertColumns="0" insertRows="0" insertHyperlinks="0" deleteColumns="0" deleteRows="0" sort="0" pivotTables="0"/>
  <printOptions/>
  <pageMargins left="0.15748031496062992" right="0.2362204724409449" top="0.8267716535433072" bottom="0.4330708661417323" header="0" footer="0"/>
  <pageSetup horizontalDpi="600" verticalDpi="600" orientation="landscape" scale="70" r:id="rId1"/>
  <headerFooter alignWithMargins="0">
    <oddHeader>&amp;C&amp;"Comic Sans MS,Normal"&amp;12GASTOS MUNICIPALES
BEP 2015
Modificaciones al Clasificador Presupuestario</oddHeader>
    <oddFooter>&amp;LCHF/&amp;C&amp;P</oddFooter>
  </headerFooter>
  <rowBreaks count="11" manualBreakCount="11">
    <brk id="78" max="255" man="1"/>
    <brk id="108" max="255" man="1"/>
    <brk id="147" max="255" man="1"/>
    <brk id="184" max="255" man="1"/>
    <brk id="223" max="255" man="1"/>
    <brk id="254" max="255" man="1"/>
    <brk id="291" max="255" man="1"/>
    <brk id="324" max="255" man="1"/>
    <brk id="369" max="255" man="1"/>
    <brk id="401" max="255" man="1"/>
    <brk id="432" max="255" man="1"/>
  </rowBreaks>
  <colBreaks count="3" manualBreakCount="3">
    <brk id="10" max="65535" man="1"/>
    <brk id="18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6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25.7109375" style="2" bestFit="1" customWidth="1"/>
    <col min="2" max="2" width="83.28125" style="2" bestFit="1" customWidth="1"/>
    <col min="3" max="6" width="15.00390625" style="1" customWidth="1"/>
  </cols>
  <sheetData>
    <row r="1" spans="1:6" ht="16.5">
      <c r="A1" s="11"/>
      <c r="B1" s="11"/>
      <c r="C1" s="3" t="s">
        <v>755</v>
      </c>
      <c r="D1" s="3"/>
      <c r="E1" s="3"/>
      <c r="F1" s="3"/>
    </row>
    <row r="2" spans="1:6" ht="49.5">
      <c r="A2" s="10" t="s">
        <v>757</v>
      </c>
      <c r="B2" s="10" t="s">
        <v>758</v>
      </c>
      <c r="C2" s="14" t="s">
        <v>759</v>
      </c>
      <c r="D2" s="14" t="s">
        <v>760</v>
      </c>
      <c r="E2" s="14" t="s">
        <v>761</v>
      </c>
      <c r="F2" s="14" t="s">
        <v>762</v>
      </c>
    </row>
    <row r="3" spans="1:6" ht="16.5">
      <c r="A3" s="6" t="s">
        <v>0</v>
      </c>
      <c r="B3" s="6" t="s">
        <v>1</v>
      </c>
      <c r="C3" s="6">
        <f>'Gastos Municipales'!AA3</f>
        <v>1243600</v>
      </c>
      <c r="D3" s="6">
        <f>'Gastos Municipales'!AB3</f>
        <v>1243600</v>
      </c>
      <c r="E3" s="6">
        <f>'Gastos Municipales'!AC3</f>
        <v>411886</v>
      </c>
      <c r="F3" s="6">
        <f>'Gastos Municipales'!AD3</f>
        <v>831714</v>
      </c>
    </row>
    <row r="4" spans="1:6" ht="16.5">
      <c r="A4" s="7" t="s">
        <v>2</v>
      </c>
      <c r="B4" s="7" t="s">
        <v>3</v>
      </c>
      <c r="C4" s="7">
        <f>'Gastos Municipales'!AA4</f>
        <v>756416</v>
      </c>
      <c r="D4" s="7">
        <f>'Gastos Municipales'!AB4</f>
        <v>756416</v>
      </c>
      <c r="E4" s="7">
        <f>'Gastos Municipales'!AC4</f>
        <v>249762</v>
      </c>
      <c r="F4" s="7">
        <f>'Gastos Municipales'!AD4</f>
        <v>506654</v>
      </c>
    </row>
    <row r="5" spans="1:6" ht="16.5">
      <c r="A5" s="8" t="s">
        <v>4</v>
      </c>
      <c r="B5" s="8" t="s">
        <v>5</v>
      </c>
      <c r="C5" s="8">
        <f>'Gastos Municipales'!AA5</f>
        <v>557816</v>
      </c>
      <c r="D5" s="8">
        <f>'Gastos Municipales'!AB5</f>
        <v>557816</v>
      </c>
      <c r="E5" s="8">
        <f>'Gastos Municipales'!AC5</f>
        <v>186682</v>
      </c>
      <c r="F5" s="8">
        <f>'Gastos Municipales'!AD5</f>
        <v>371134</v>
      </c>
    </row>
    <row r="6" spans="1:6" ht="15">
      <c r="A6" s="5" t="s">
        <v>6</v>
      </c>
      <c r="B6" s="5" t="s">
        <v>7</v>
      </c>
      <c r="C6" s="5">
        <f>'Gastos Municipales'!AA6</f>
        <v>134409</v>
      </c>
      <c r="D6" s="5">
        <f>'Gastos Municipales'!AB6</f>
        <v>134409</v>
      </c>
      <c r="E6" s="5">
        <f>'Gastos Municipales'!AC6</f>
        <v>48371</v>
      </c>
      <c r="F6" s="5">
        <f>'Gastos Municipales'!AD6</f>
        <v>86038</v>
      </c>
    </row>
    <row r="7" spans="1:6" ht="15">
      <c r="A7" s="5" t="s">
        <v>8</v>
      </c>
      <c r="B7" s="5" t="s">
        <v>9</v>
      </c>
      <c r="C7" s="5">
        <f>'Gastos Municipales'!AA7</f>
        <v>13409</v>
      </c>
      <c r="D7" s="5">
        <f>'Gastos Municipales'!AB7</f>
        <v>13409</v>
      </c>
      <c r="E7" s="5">
        <f>'Gastos Municipales'!AC7</f>
        <v>9039</v>
      </c>
      <c r="F7" s="5">
        <f>'Gastos Municipales'!AD7</f>
        <v>4370</v>
      </c>
    </row>
    <row r="8" spans="1:6" ht="15">
      <c r="A8" s="4" t="s">
        <v>10</v>
      </c>
      <c r="B8" s="4" t="s">
        <v>11</v>
      </c>
      <c r="C8" s="4">
        <f>'Gastos Municipales'!AA8</f>
        <v>13409</v>
      </c>
      <c r="D8" s="4">
        <f>'Gastos Municipales'!AB8</f>
        <v>13409</v>
      </c>
      <c r="E8" s="4">
        <f>'Gastos Municipales'!AC8</f>
        <v>1161</v>
      </c>
      <c r="F8" s="4">
        <f>'Gastos Municipales'!AD8</f>
        <v>12248</v>
      </c>
    </row>
    <row r="9" spans="1:6" ht="15">
      <c r="A9" s="4" t="s">
        <v>12</v>
      </c>
      <c r="B9" s="4" t="s">
        <v>13</v>
      </c>
      <c r="C9" s="4">
        <f>'Gastos Municipales'!AA9</f>
        <v>0</v>
      </c>
      <c r="D9" s="4">
        <f>'Gastos Municipales'!AB9</f>
        <v>0</v>
      </c>
      <c r="E9" s="4">
        <f>'Gastos Municipales'!AC9</f>
        <v>7878</v>
      </c>
      <c r="F9" s="4">
        <f>'Gastos Municipales'!AD9</f>
        <v>-7878</v>
      </c>
    </row>
    <row r="10" spans="1:6" ht="15">
      <c r="A10" s="4" t="s">
        <v>14</v>
      </c>
      <c r="B10" s="4" t="s">
        <v>15</v>
      </c>
      <c r="C10" s="4">
        <f>'Gastos Municipales'!AA10</f>
        <v>0</v>
      </c>
      <c r="D10" s="4">
        <f>'Gastos Municipales'!AB10</f>
        <v>0</v>
      </c>
      <c r="E10" s="4">
        <f>'Gastos Municipales'!AC10</f>
        <v>0</v>
      </c>
      <c r="F10" s="4">
        <f>'Gastos Municipales'!AD10</f>
        <v>0</v>
      </c>
    </row>
    <row r="11" spans="1:6" ht="15">
      <c r="A11" s="5" t="s">
        <v>16</v>
      </c>
      <c r="B11" s="5" t="s">
        <v>17</v>
      </c>
      <c r="C11" s="5">
        <f>'Gastos Municipales'!AA11</f>
        <v>0</v>
      </c>
      <c r="D11" s="5">
        <f>'Gastos Municipales'!AB11</f>
        <v>0</v>
      </c>
      <c r="E11" s="5">
        <f>'Gastos Municipales'!AC11</f>
        <v>0</v>
      </c>
      <c r="F11" s="5">
        <f>'Gastos Municipales'!AD11</f>
        <v>0</v>
      </c>
    </row>
    <row r="12" spans="1:6" ht="15">
      <c r="A12" s="4" t="s">
        <v>18</v>
      </c>
      <c r="B12" s="4" t="s">
        <v>19</v>
      </c>
      <c r="C12" s="4">
        <f>'Gastos Municipales'!AA12</f>
        <v>0</v>
      </c>
      <c r="D12" s="4">
        <f>'Gastos Municipales'!AB12</f>
        <v>0</v>
      </c>
      <c r="E12" s="4">
        <f>'Gastos Municipales'!AC12</f>
        <v>0</v>
      </c>
      <c r="F12" s="4">
        <f>'Gastos Municipales'!AD12</f>
        <v>0</v>
      </c>
    </row>
    <row r="13" spans="1:6" ht="15">
      <c r="A13" s="5" t="s">
        <v>20</v>
      </c>
      <c r="B13" s="5" t="s">
        <v>21</v>
      </c>
      <c r="C13" s="5">
        <f>'Gastos Municipales'!AA13</f>
        <v>65861</v>
      </c>
      <c r="D13" s="5">
        <f>'Gastos Municipales'!AB13</f>
        <v>65861</v>
      </c>
      <c r="E13" s="5">
        <f>'Gastos Municipales'!AC13</f>
        <v>24436</v>
      </c>
      <c r="F13" s="5">
        <f>'Gastos Municipales'!AD13</f>
        <v>41425</v>
      </c>
    </row>
    <row r="14" spans="1:6" ht="15">
      <c r="A14" s="4" t="s">
        <v>22</v>
      </c>
      <c r="B14" s="4" t="s">
        <v>23</v>
      </c>
      <c r="C14" s="4">
        <f>'Gastos Municipales'!AA14</f>
        <v>65861</v>
      </c>
      <c r="D14" s="4">
        <f>'Gastos Municipales'!AB14</f>
        <v>65861</v>
      </c>
      <c r="E14" s="4">
        <f>'Gastos Municipales'!AC14</f>
        <v>22916</v>
      </c>
      <c r="F14" s="4">
        <f>'Gastos Municipales'!AD14</f>
        <v>42945</v>
      </c>
    </row>
    <row r="15" spans="1:6" ht="15">
      <c r="A15" s="4" t="s">
        <v>24</v>
      </c>
      <c r="B15" s="4" t="s">
        <v>25</v>
      </c>
      <c r="C15" s="4">
        <f>'Gastos Municipales'!AA15</f>
        <v>0</v>
      </c>
      <c r="D15" s="4">
        <f>'Gastos Municipales'!AB15</f>
        <v>0</v>
      </c>
      <c r="E15" s="4">
        <f>'Gastos Municipales'!AC15</f>
        <v>0</v>
      </c>
      <c r="F15" s="4">
        <f>'Gastos Municipales'!AD15</f>
        <v>0</v>
      </c>
    </row>
    <row r="16" spans="1:6" ht="15">
      <c r="A16" s="4" t="s">
        <v>26</v>
      </c>
      <c r="B16" s="4" t="s">
        <v>27</v>
      </c>
      <c r="C16" s="4">
        <f>'Gastos Municipales'!AA16</f>
        <v>0</v>
      </c>
      <c r="D16" s="4">
        <f>'Gastos Municipales'!AB16</f>
        <v>0</v>
      </c>
      <c r="E16" s="4">
        <f>'Gastos Municipales'!AC16</f>
        <v>1520</v>
      </c>
      <c r="F16" s="4">
        <f>'Gastos Municipales'!AD16</f>
        <v>-1520</v>
      </c>
    </row>
    <row r="17" spans="1:6" ht="15">
      <c r="A17" s="4" t="s">
        <v>28</v>
      </c>
      <c r="B17" s="4" t="s">
        <v>29</v>
      </c>
      <c r="C17" s="4">
        <f>'Gastos Municipales'!AA17</f>
        <v>0</v>
      </c>
      <c r="D17" s="4">
        <f>'Gastos Municipales'!AB17</f>
        <v>0</v>
      </c>
      <c r="E17" s="4">
        <f>'Gastos Municipales'!AC17</f>
        <v>0</v>
      </c>
      <c r="F17" s="4">
        <f>'Gastos Municipales'!AD17</f>
        <v>0</v>
      </c>
    </row>
    <row r="18" spans="1:6" ht="15">
      <c r="A18" s="5" t="s">
        <v>30</v>
      </c>
      <c r="B18" s="5" t="s">
        <v>31</v>
      </c>
      <c r="C18" s="5">
        <f>'Gastos Municipales'!AA18</f>
        <v>167744</v>
      </c>
      <c r="D18" s="5">
        <f>'Gastos Municipales'!AB18</f>
        <v>167744</v>
      </c>
      <c r="E18" s="5">
        <f>'Gastos Municipales'!AC18</f>
        <v>49932</v>
      </c>
      <c r="F18" s="5">
        <f>'Gastos Municipales'!AD18</f>
        <v>117812</v>
      </c>
    </row>
    <row r="19" spans="1:6" ht="15">
      <c r="A19" s="4" t="s">
        <v>32</v>
      </c>
      <c r="B19" s="4" t="s">
        <v>33</v>
      </c>
      <c r="C19" s="4">
        <f>'Gastos Municipales'!AA19</f>
        <v>167744</v>
      </c>
      <c r="D19" s="4">
        <f>'Gastos Municipales'!AB19</f>
        <v>167744</v>
      </c>
      <c r="E19" s="4">
        <f>'Gastos Municipales'!AC19</f>
        <v>49932</v>
      </c>
      <c r="F19" s="4">
        <f>'Gastos Municipales'!AD19</f>
        <v>117812</v>
      </c>
    </row>
    <row r="20" spans="1:6" ht="15">
      <c r="A20" s="4" t="s">
        <v>34</v>
      </c>
      <c r="B20" s="4" t="s">
        <v>35</v>
      </c>
      <c r="C20" s="4">
        <f>'Gastos Municipales'!AA20</f>
        <v>0</v>
      </c>
      <c r="D20" s="4">
        <f>'Gastos Municipales'!AB20</f>
        <v>0</v>
      </c>
      <c r="E20" s="4">
        <f>'Gastos Municipales'!AC20</f>
        <v>0</v>
      </c>
      <c r="F20" s="4">
        <f>'Gastos Municipales'!AD20</f>
        <v>0</v>
      </c>
    </row>
    <row r="21" spans="1:6" ht="15">
      <c r="A21" s="4" t="s">
        <v>36</v>
      </c>
      <c r="B21" s="4" t="s">
        <v>37</v>
      </c>
      <c r="C21" s="4">
        <f>'Gastos Municipales'!AA21</f>
        <v>0</v>
      </c>
      <c r="D21" s="4">
        <f>'Gastos Municipales'!AB21</f>
        <v>0</v>
      </c>
      <c r="E21" s="4">
        <f>'Gastos Municipales'!AC21</f>
        <v>0</v>
      </c>
      <c r="F21" s="4">
        <f>'Gastos Municipales'!AD21</f>
        <v>0</v>
      </c>
    </row>
    <row r="22" spans="1:6" ht="15">
      <c r="A22" s="5" t="s">
        <v>38</v>
      </c>
      <c r="B22" s="5" t="s">
        <v>39</v>
      </c>
      <c r="C22" s="5">
        <f>'Gastos Municipales'!AA22</f>
        <v>0</v>
      </c>
      <c r="D22" s="5">
        <f>'Gastos Municipales'!AB22</f>
        <v>0</v>
      </c>
      <c r="E22" s="5">
        <f>'Gastos Municipales'!AC22</f>
        <v>0</v>
      </c>
      <c r="F22" s="5">
        <f>'Gastos Municipales'!AD22</f>
        <v>0</v>
      </c>
    </row>
    <row r="23" spans="1:6" ht="15">
      <c r="A23" s="4" t="s">
        <v>40</v>
      </c>
      <c r="B23" s="4" t="s">
        <v>41</v>
      </c>
      <c r="C23" s="4">
        <f>'Gastos Municipales'!AA23</f>
        <v>0</v>
      </c>
      <c r="D23" s="4">
        <f>'Gastos Municipales'!AB23</f>
        <v>0</v>
      </c>
      <c r="E23" s="4">
        <f>'Gastos Municipales'!AC23</f>
        <v>0</v>
      </c>
      <c r="F23" s="4">
        <f>'Gastos Municipales'!AD23</f>
        <v>0</v>
      </c>
    </row>
    <row r="24" spans="1:6" ht="15">
      <c r="A24" s="4" t="s">
        <v>42</v>
      </c>
      <c r="B24" s="4" t="s">
        <v>43</v>
      </c>
      <c r="C24" s="4">
        <f>'Gastos Municipales'!AA24</f>
        <v>0</v>
      </c>
      <c r="D24" s="4">
        <f>'Gastos Municipales'!AB24</f>
        <v>0</v>
      </c>
      <c r="E24" s="4">
        <f>'Gastos Municipales'!AC24</f>
        <v>0</v>
      </c>
      <c r="F24" s="4">
        <f>'Gastos Municipales'!AD24</f>
        <v>0</v>
      </c>
    </row>
    <row r="25" spans="1:6" ht="15">
      <c r="A25" s="5" t="s">
        <v>44</v>
      </c>
      <c r="B25" s="5" t="s">
        <v>45</v>
      </c>
      <c r="C25" s="5">
        <f>'Gastos Municipales'!AA25</f>
        <v>16360</v>
      </c>
      <c r="D25" s="5">
        <f>'Gastos Municipales'!AB25</f>
        <v>16360</v>
      </c>
      <c r="E25" s="5">
        <f>'Gastos Municipales'!AC25</f>
        <v>6063</v>
      </c>
      <c r="F25" s="5">
        <f>'Gastos Municipales'!AD25</f>
        <v>10297</v>
      </c>
    </row>
    <row r="26" spans="1:6" ht="15">
      <c r="A26" s="4" t="s">
        <v>46</v>
      </c>
      <c r="B26" s="4" t="s">
        <v>47</v>
      </c>
      <c r="C26" s="4">
        <f>'Gastos Municipales'!AA26</f>
        <v>0</v>
      </c>
      <c r="D26" s="4">
        <f>'Gastos Municipales'!AB26</f>
        <v>0</v>
      </c>
      <c r="E26" s="4">
        <f>'Gastos Municipales'!AC26</f>
        <v>0</v>
      </c>
      <c r="F26" s="4">
        <f>'Gastos Municipales'!AD26</f>
        <v>0</v>
      </c>
    </row>
    <row r="27" spans="1:6" ht="15">
      <c r="A27" s="4" t="s">
        <v>48</v>
      </c>
      <c r="B27" s="4" t="s">
        <v>49</v>
      </c>
      <c r="C27" s="4">
        <f>'Gastos Municipales'!AA27</f>
        <v>0</v>
      </c>
      <c r="D27" s="4">
        <f>'Gastos Municipales'!AB27</f>
        <v>0</v>
      </c>
      <c r="E27" s="4">
        <f>'Gastos Municipales'!AC27</f>
        <v>0</v>
      </c>
      <c r="F27" s="4">
        <f>'Gastos Municipales'!AD27</f>
        <v>0</v>
      </c>
    </row>
    <row r="28" spans="1:6" ht="15">
      <c r="A28" s="4" t="s">
        <v>50</v>
      </c>
      <c r="B28" s="4" t="s">
        <v>51</v>
      </c>
      <c r="C28" s="4">
        <f>'Gastos Municipales'!AA28</f>
        <v>0</v>
      </c>
      <c r="D28" s="4">
        <f>'Gastos Municipales'!AB28</f>
        <v>0</v>
      </c>
      <c r="E28" s="4">
        <f>'Gastos Municipales'!AC28</f>
        <v>0</v>
      </c>
      <c r="F28" s="4">
        <f>'Gastos Municipales'!AD28</f>
        <v>0</v>
      </c>
    </row>
    <row r="29" spans="1:6" ht="15">
      <c r="A29" s="4" t="s">
        <v>52</v>
      </c>
      <c r="B29" s="4" t="s">
        <v>53</v>
      </c>
      <c r="C29" s="4">
        <f>'Gastos Municipales'!AA29</f>
        <v>0</v>
      </c>
      <c r="D29" s="4">
        <f>'Gastos Municipales'!AB29</f>
        <v>0</v>
      </c>
      <c r="E29" s="4">
        <f>'Gastos Municipales'!AC29</f>
        <v>0</v>
      </c>
      <c r="F29" s="4">
        <f>'Gastos Municipales'!AD29</f>
        <v>0</v>
      </c>
    </row>
    <row r="30" spans="1:6" ht="15">
      <c r="A30" s="4" t="s">
        <v>54</v>
      </c>
      <c r="B30" s="4" t="s">
        <v>55</v>
      </c>
      <c r="C30" s="4">
        <f>'Gastos Municipales'!AA30</f>
        <v>16360</v>
      </c>
      <c r="D30" s="4">
        <f>'Gastos Municipales'!AB30</f>
        <v>16360</v>
      </c>
      <c r="E30" s="4">
        <f>'Gastos Municipales'!AC30</f>
        <v>6063</v>
      </c>
      <c r="F30" s="4">
        <f>'Gastos Municipales'!AD30</f>
        <v>10297</v>
      </c>
    </row>
    <row r="31" spans="1:6" ht="15">
      <c r="A31" s="4" t="s">
        <v>56</v>
      </c>
      <c r="B31" s="4" t="s">
        <v>57</v>
      </c>
      <c r="C31" s="4">
        <f>'Gastos Municipales'!AA31</f>
        <v>0</v>
      </c>
      <c r="D31" s="4">
        <f>'Gastos Municipales'!AB31</f>
        <v>0</v>
      </c>
      <c r="E31" s="4">
        <f>'Gastos Municipales'!AC31</f>
        <v>0</v>
      </c>
      <c r="F31" s="4">
        <f>'Gastos Municipales'!AD31</f>
        <v>0</v>
      </c>
    </row>
    <row r="32" spans="1:6" ht="15">
      <c r="A32" s="4" t="s">
        <v>58</v>
      </c>
      <c r="B32" s="4" t="s">
        <v>59</v>
      </c>
      <c r="C32" s="4">
        <f>'Gastos Municipales'!AA32</f>
        <v>0</v>
      </c>
      <c r="D32" s="4">
        <f>'Gastos Municipales'!AB32</f>
        <v>0</v>
      </c>
      <c r="E32" s="4">
        <f>'Gastos Municipales'!AC32</f>
        <v>0</v>
      </c>
      <c r="F32" s="4">
        <f>'Gastos Municipales'!AD32</f>
        <v>0</v>
      </c>
    </row>
    <row r="33" spans="1:6" ht="15">
      <c r="A33" s="4" t="s">
        <v>60</v>
      </c>
      <c r="B33" s="4" t="s">
        <v>61</v>
      </c>
      <c r="C33" s="4">
        <f>'Gastos Municipales'!AA33</f>
        <v>0</v>
      </c>
      <c r="D33" s="4">
        <f>'Gastos Municipales'!AB33</f>
        <v>0</v>
      </c>
      <c r="E33" s="4">
        <f>'Gastos Municipales'!AC33</f>
        <v>0</v>
      </c>
      <c r="F33" s="4">
        <f>'Gastos Municipales'!AD33</f>
        <v>0</v>
      </c>
    </row>
    <row r="34" spans="1:6" ht="15">
      <c r="A34" s="5" t="s">
        <v>62</v>
      </c>
      <c r="B34" s="5" t="s">
        <v>63</v>
      </c>
      <c r="C34" s="5">
        <f>'Gastos Municipales'!AA34</f>
        <v>311</v>
      </c>
      <c r="D34" s="5">
        <f>'Gastos Municipales'!AB34</f>
        <v>311</v>
      </c>
      <c r="E34" s="5">
        <f>'Gastos Municipales'!AC34</f>
        <v>84</v>
      </c>
      <c r="F34" s="5">
        <f>'Gastos Municipales'!AD34</f>
        <v>227</v>
      </c>
    </row>
    <row r="35" spans="1:6" ht="15">
      <c r="A35" s="4" t="s">
        <v>64</v>
      </c>
      <c r="B35" s="4" t="s">
        <v>65</v>
      </c>
      <c r="C35" s="4">
        <f>'Gastos Municipales'!AA35</f>
        <v>311</v>
      </c>
      <c r="D35" s="4">
        <f>'Gastos Municipales'!AB35</f>
        <v>311</v>
      </c>
      <c r="E35" s="4">
        <f>'Gastos Municipales'!AC35</f>
        <v>84</v>
      </c>
      <c r="F35" s="4">
        <f>'Gastos Municipales'!AD35</f>
        <v>227</v>
      </c>
    </row>
    <row r="36" spans="1:6" ht="15">
      <c r="A36" s="5" t="s">
        <v>66</v>
      </c>
      <c r="B36" s="5" t="s">
        <v>67</v>
      </c>
      <c r="C36" s="5">
        <f>'Gastos Municipales'!AA36</f>
        <v>0</v>
      </c>
      <c r="D36" s="5">
        <f>'Gastos Municipales'!AB36</f>
        <v>0</v>
      </c>
      <c r="E36" s="5">
        <f>'Gastos Municipales'!AC36</f>
        <v>0</v>
      </c>
      <c r="F36" s="5">
        <f>'Gastos Municipales'!AD36</f>
        <v>0</v>
      </c>
    </row>
    <row r="37" spans="1:6" ht="15">
      <c r="A37" s="4" t="s">
        <v>68</v>
      </c>
      <c r="B37" s="4" t="s">
        <v>69</v>
      </c>
      <c r="C37" s="4">
        <f>'Gastos Municipales'!AA37</f>
        <v>0</v>
      </c>
      <c r="D37" s="4">
        <f>'Gastos Municipales'!AB37</f>
        <v>0</v>
      </c>
      <c r="E37" s="4">
        <f>'Gastos Municipales'!AC37</f>
        <v>0</v>
      </c>
      <c r="F37" s="4">
        <f>'Gastos Municipales'!AD37</f>
        <v>0</v>
      </c>
    </row>
    <row r="38" spans="1:6" ht="15">
      <c r="A38" s="5" t="s">
        <v>70</v>
      </c>
      <c r="B38" s="5" t="s">
        <v>71</v>
      </c>
      <c r="C38" s="5">
        <f>'Gastos Municipales'!AA38</f>
        <v>71594</v>
      </c>
      <c r="D38" s="5">
        <f>'Gastos Municipales'!AB38</f>
        <v>71594</v>
      </c>
      <c r="E38" s="5">
        <f>'Gastos Municipales'!AC38</f>
        <v>24134</v>
      </c>
      <c r="F38" s="5">
        <f>'Gastos Municipales'!AD38</f>
        <v>47460</v>
      </c>
    </row>
    <row r="39" spans="1:6" ht="15">
      <c r="A39" s="4" t="s">
        <v>72</v>
      </c>
      <c r="B39" s="4" t="s">
        <v>73</v>
      </c>
      <c r="C39" s="4">
        <f>'Gastos Municipales'!AA39</f>
        <v>28898</v>
      </c>
      <c r="D39" s="4">
        <f>'Gastos Municipales'!AB39</f>
        <v>28898</v>
      </c>
      <c r="E39" s="4">
        <f>'Gastos Municipales'!AC39</f>
        <v>9973</v>
      </c>
      <c r="F39" s="4">
        <f>'Gastos Municipales'!AD39</f>
        <v>18925</v>
      </c>
    </row>
    <row r="40" spans="1:6" ht="15">
      <c r="A40" s="4" t="s">
        <v>74</v>
      </c>
      <c r="B40" s="4" t="s">
        <v>75</v>
      </c>
      <c r="C40" s="4">
        <f>'Gastos Municipales'!AA40</f>
        <v>12391</v>
      </c>
      <c r="D40" s="4">
        <f>'Gastos Municipales'!AB40</f>
        <v>12391</v>
      </c>
      <c r="E40" s="4">
        <f>'Gastos Municipales'!AC40</f>
        <v>3588</v>
      </c>
      <c r="F40" s="4">
        <f>'Gastos Municipales'!AD40</f>
        <v>8803</v>
      </c>
    </row>
    <row r="41" spans="1:6" ht="15">
      <c r="A41" s="4" t="s">
        <v>76</v>
      </c>
      <c r="B41" s="4" t="s">
        <v>77</v>
      </c>
      <c r="C41" s="4">
        <f>'Gastos Municipales'!AA41</f>
        <v>30305</v>
      </c>
      <c r="D41" s="4">
        <f>'Gastos Municipales'!AB41</f>
        <v>30305</v>
      </c>
      <c r="E41" s="4">
        <f>'Gastos Municipales'!AC41</f>
        <v>8761</v>
      </c>
      <c r="F41" s="4">
        <f>'Gastos Municipales'!AD41</f>
        <v>21544</v>
      </c>
    </row>
    <row r="42" spans="1:6" ht="15">
      <c r="A42" s="4" t="s">
        <v>78</v>
      </c>
      <c r="B42" s="4" t="s">
        <v>79</v>
      </c>
      <c r="C42" s="4">
        <f>'Gastos Municipales'!AA42</f>
        <v>0</v>
      </c>
      <c r="D42" s="4">
        <f>'Gastos Municipales'!AB42</f>
        <v>0</v>
      </c>
      <c r="E42" s="4">
        <f>'Gastos Municipales'!AC42</f>
        <v>1806</v>
      </c>
      <c r="F42" s="4">
        <f>'Gastos Municipales'!AD42</f>
        <v>-1806</v>
      </c>
    </row>
    <row r="43" spans="1:6" ht="15">
      <c r="A43" s="4" t="s">
        <v>80</v>
      </c>
      <c r="B43" s="4" t="s">
        <v>81</v>
      </c>
      <c r="C43" s="4">
        <f>'Gastos Municipales'!AA43</f>
        <v>0</v>
      </c>
      <c r="D43" s="4">
        <f>'Gastos Municipales'!AB43</f>
        <v>0</v>
      </c>
      <c r="E43" s="4">
        <f>'Gastos Municipales'!AC43</f>
        <v>6</v>
      </c>
      <c r="F43" s="4">
        <f>'Gastos Municipales'!AD43</f>
        <v>-6</v>
      </c>
    </row>
    <row r="44" spans="1:6" ht="15">
      <c r="A44" s="4" t="s">
        <v>82</v>
      </c>
      <c r="B44" s="4" t="s">
        <v>83</v>
      </c>
      <c r="C44" s="4">
        <f>'Gastos Municipales'!AA44</f>
        <v>0</v>
      </c>
      <c r="D44" s="4">
        <f>'Gastos Municipales'!AB44</f>
        <v>0</v>
      </c>
      <c r="E44" s="4">
        <f>'Gastos Municipales'!AC44</f>
        <v>0</v>
      </c>
      <c r="F44" s="4">
        <f>'Gastos Municipales'!AD44</f>
        <v>0</v>
      </c>
    </row>
    <row r="45" spans="1:6" ht="15">
      <c r="A45" s="4" t="s">
        <v>84</v>
      </c>
      <c r="B45" s="4" t="s">
        <v>85</v>
      </c>
      <c r="C45" s="4">
        <f>'Gastos Municipales'!AA45</f>
        <v>0</v>
      </c>
      <c r="D45" s="4">
        <f>'Gastos Municipales'!AB45</f>
        <v>0</v>
      </c>
      <c r="E45" s="4">
        <f>'Gastos Municipales'!AC45</f>
        <v>0</v>
      </c>
      <c r="F45" s="4">
        <f>'Gastos Municipales'!AD45</f>
        <v>0</v>
      </c>
    </row>
    <row r="46" spans="1:6" ht="15">
      <c r="A46" s="4" t="s">
        <v>86</v>
      </c>
      <c r="B46" s="4" t="s">
        <v>87</v>
      </c>
      <c r="C46" s="4">
        <f>'Gastos Municipales'!AA46</f>
        <v>0</v>
      </c>
      <c r="D46" s="4">
        <f>'Gastos Municipales'!AB46</f>
        <v>0</v>
      </c>
      <c r="E46" s="4">
        <f>'Gastos Municipales'!AC46</f>
        <v>0</v>
      </c>
      <c r="F46" s="4">
        <f>'Gastos Municipales'!AD46</f>
        <v>0</v>
      </c>
    </row>
    <row r="47" spans="1:6" ht="15">
      <c r="A47" s="5" t="s">
        <v>88</v>
      </c>
      <c r="B47" s="5" t="s">
        <v>89</v>
      </c>
      <c r="C47" s="5">
        <f>'Gastos Municipales'!AA47</f>
        <v>18889</v>
      </c>
      <c r="D47" s="5">
        <f>'Gastos Municipales'!AB47</f>
        <v>18889</v>
      </c>
      <c r="E47" s="5">
        <f>'Gastos Municipales'!AC47</f>
        <v>7412</v>
      </c>
      <c r="F47" s="5">
        <f>'Gastos Municipales'!AD47</f>
        <v>11477</v>
      </c>
    </row>
    <row r="48" spans="1:6" ht="15">
      <c r="A48" s="4" t="s">
        <v>90</v>
      </c>
      <c r="B48" s="4" t="s">
        <v>91</v>
      </c>
      <c r="C48" s="4">
        <f>'Gastos Municipales'!AA48</f>
        <v>18889</v>
      </c>
      <c r="D48" s="4">
        <f>'Gastos Municipales'!AB48</f>
        <v>18889</v>
      </c>
      <c r="E48" s="4">
        <f>'Gastos Municipales'!AC48</f>
        <v>7412</v>
      </c>
      <c r="F48" s="4">
        <f>'Gastos Municipales'!AD48</f>
        <v>11477</v>
      </c>
    </row>
    <row r="49" spans="1:6" ht="15">
      <c r="A49" s="4" t="s">
        <v>92</v>
      </c>
      <c r="B49" s="4" t="s">
        <v>93</v>
      </c>
      <c r="C49" s="4">
        <f>'Gastos Municipales'!AA49</f>
        <v>0</v>
      </c>
      <c r="D49" s="4">
        <f>'Gastos Municipales'!AB49</f>
        <v>0</v>
      </c>
      <c r="E49" s="4">
        <f>'Gastos Municipales'!AC49</f>
        <v>0</v>
      </c>
      <c r="F49" s="4">
        <f>'Gastos Municipales'!AD49</f>
        <v>0</v>
      </c>
    </row>
    <row r="50" spans="1:6" ht="15">
      <c r="A50" s="5" t="s">
        <v>94</v>
      </c>
      <c r="B50" s="5" t="s">
        <v>95</v>
      </c>
      <c r="C50" s="5">
        <f>'Gastos Municipales'!AA50</f>
        <v>0</v>
      </c>
      <c r="D50" s="5">
        <f>'Gastos Municipales'!AB50</f>
        <v>0</v>
      </c>
      <c r="E50" s="5">
        <f>'Gastos Municipales'!AC50</f>
        <v>3373</v>
      </c>
      <c r="F50" s="5">
        <f>'Gastos Municipales'!AD50</f>
        <v>-3373</v>
      </c>
    </row>
    <row r="51" spans="1:6" ht="15">
      <c r="A51" s="4" t="s">
        <v>96</v>
      </c>
      <c r="B51" s="4" t="s">
        <v>97</v>
      </c>
      <c r="C51" s="4">
        <f>'Gastos Municipales'!AA51</f>
        <v>0</v>
      </c>
      <c r="D51" s="4">
        <f>'Gastos Municipales'!AB51</f>
        <v>0</v>
      </c>
      <c r="E51" s="4">
        <f>'Gastos Municipales'!AC51</f>
        <v>3373</v>
      </c>
      <c r="F51" s="4">
        <f>'Gastos Municipales'!AD51</f>
        <v>-3373</v>
      </c>
    </row>
    <row r="52" spans="1:6" ht="15">
      <c r="A52" s="4" t="s">
        <v>98</v>
      </c>
      <c r="B52" s="4" t="s">
        <v>99</v>
      </c>
      <c r="C52" s="4">
        <f>'Gastos Municipales'!AA52</f>
        <v>0</v>
      </c>
      <c r="D52" s="4">
        <f>'Gastos Municipales'!AB52</f>
        <v>0</v>
      </c>
      <c r="E52" s="4">
        <f>'Gastos Municipales'!AC52</f>
        <v>0</v>
      </c>
      <c r="F52" s="4">
        <f>'Gastos Municipales'!AD52</f>
        <v>0</v>
      </c>
    </row>
    <row r="53" spans="1:6" ht="15">
      <c r="A53" s="4" t="s">
        <v>100</v>
      </c>
      <c r="B53" s="4" t="s">
        <v>101</v>
      </c>
      <c r="C53" s="4">
        <f>'Gastos Municipales'!AA53</f>
        <v>0</v>
      </c>
      <c r="D53" s="4">
        <f>'Gastos Municipales'!AB53</f>
        <v>0</v>
      </c>
      <c r="E53" s="4">
        <f>'Gastos Municipales'!AC53</f>
        <v>0</v>
      </c>
      <c r="F53" s="4">
        <f>'Gastos Municipales'!AD53</f>
        <v>0</v>
      </c>
    </row>
    <row r="54" spans="1:6" ht="15">
      <c r="A54" s="4" t="s">
        <v>102</v>
      </c>
      <c r="B54" s="4" t="s">
        <v>103</v>
      </c>
      <c r="C54" s="4">
        <f>'Gastos Municipales'!AA54</f>
        <v>0</v>
      </c>
      <c r="D54" s="4">
        <f>'Gastos Municipales'!AB54</f>
        <v>0</v>
      </c>
      <c r="E54" s="4">
        <f>'Gastos Municipales'!AC54</f>
        <v>0</v>
      </c>
      <c r="F54" s="4">
        <f>'Gastos Municipales'!AD54</f>
        <v>0</v>
      </c>
    </row>
    <row r="55" spans="1:6" ht="15">
      <c r="A55" s="5" t="s">
        <v>104</v>
      </c>
      <c r="B55" s="5" t="s">
        <v>105</v>
      </c>
      <c r="C55" s="5">
        <f>'Gastos Municipales'!AA56</f>
        <v>0</v>
      </c>
      <c r="D55" s="5">
        <f>'Gastos Municipales'!AB56</f>
        <v>0</v>
      </c>
      <c r="E55" s="5">
        <f>'Gastos Municipales'!AC56</f>
        <v>0</v>
      </c>
      <c r="F55" s="5">
        <f>'Gastos Municipales'!AD56</f>
        <v>0</v>
      </c>
    </row>
    <row r="56" spans="1:6" ht="15">
      <c r="A56" s="4" t="s">
        <v>106</v>
      </c>
      <c r="B56" s="4" t="s">
        <v>107</v>
      </c>
      <c r="C56" s="4">
        <f>'Gastos Municipales'!AA57</f>
        <v>0</v>
      </c>
      <c r="D56" s="4">
        <f>'Gastos Municipales'!AB57</f>
        <v>0</v>
      </c>
      <c r="E56" s="4">
        <f>'Gastos Municipales'!AC57</f>
        <v>0</v>
      </c>
      <c r="F56" s="4">
        <f>'Gastos Municipales'!AD57</f>
        <v>0</v>
      </c>
    </row>
    <row r="57" spans="1:6" ht="15">
      <c r="A57" s="4" t="s">
        <v>108</v>
      </c>
      <c r="B57" s="4" t="s">
        <v>109</v>
      </c>
      <c r="C57" s="4">
        <f>'Gastos Municipales'!AA58</f>
        <v>0</v>
      </c>
      <c r="D57" s="4">
        <f>'Gastos Municipales'!AB58</f>
        <v>0</v>
      </c>
      <c r="E57" s="4">
        <f>'Gastos Municipales'!AC58</f>
        <v>0</v>
      </c>
      <c r="F57" s="4">
        <f>'Gastos Municipales'!AD58</f>
        <v>0</v>
      </c>
    </row>
    <row r="58" spans="1:6" ht="15">
      <c r="A58" s="4" t="s">
        <v>110</v>
      </c>
      <c r="B58" s="4" t="s">
        <v>111</v>
      </c>
      <c r="C58" s="4">
        <f>'Gastos Municipales'!AA59</f>
        <v>0</v>
      </c>
      <c r="D58" s="4">
        <f>'Gastos Municipales'!AB59</f>
        <v>0</v>
      </c>
      <c r="E58" s="4">
        <f>'Gastos Municipales'!AC59</f>
        <v>0</v>
      </c>
      <c r="F58" s="4">
        <f>'Gastos Municipales'!AD59</f>
        <v>0</v>
      </c>
    </row>
    <row r="59" spans="1:6" ht="15">
      <c r="A59" s="4" t="s">
        <v>112</v>
      </c>
      <c r="B59" s="4" t="s">
        <v>113</v>
      </c>
      <c r="C59" s="4">
        <f>'Gastos Municipales'!AA60</f>
        <v>0</v>
      </c>
      <c r="D59" s="4">
        <f>'Gastos Municipales'!AB60</f>
        <v>0</v>
      </c>
      <c r="E59" s="4">
        <f>'Gastos Municipales'!AC60</f>
        <v>0</v>
      </c>
      <c r="F59" s="4">
        <f>'Gastos Municipales'!AD60</f>
        <v>0</v>
      </c>
    </row>
    <row r="60" spans="1:6" ht="15">
      <c r="A60" s="5" t="s">
        <v>114</v>
      </c>
      <c r="B60" s="5" t="s">
        <v>115</v>
      </c>
      <c r="C60" s="5">
        <f>'Gastos Municipales'!AA61</f>
        <v>0</v>
      </c>
      <c r="D60" s="5">
        <f>'Gastos Municipales'!AB61</f>
        <v>0</v>
      </c>
      <c r="E60" s="5">
        <f>'Gastos Municipales'!AC61</f>
        <v>0</v>
      </c>
      <c r="F60" s="5">
        <f>'Gastos Municipales'!AD61</f>
        <v>0</v>
      </c>
    </row>
    <row r="61" spans="1:6" ht="15">
      <c r="A61" s="4" t="s">
        <v>116</v>
      </c>
      <c r="B61" s="4" t="s">
        <v>117</v>
      </c>
      <c r="C61" s="4">
        <f>'Gastos Municipales'!AA62</f>
        <v>0</v>
      </c>
      <c r="D61" s="4">
        <f>'Gastos Municipales'!AB62</f>
        <v>0</v>
      </c>
      <c r="E61" s="4">
        <f>'Gastos Municipales'!AC62</f>
        <v>0</v>
      </c>
      <c r="F61" s="4">
        <f>'Gastos Municipales'!AD62</f>
        <v>0</v>
      </c>
    </row>
    <row r="62" spans="1:6" ht="15">
      <c r="A62" s="4" t="s">
        <v>118</v>
      </c>
      <c r="B62" s="4" t="s">
        <v>119</v>
      </c>
      <c r="C62" s="4">
        <f>'Gastos Municipales'!AA63</f>
        <v>0</v>
      </c>
      <c r="D62" s="4">
        <f>'Gastos Municipales'!AB63</f>
        <v>0</v>
      </c>
      <c r="E62" s="4">
        <f>'Gastos Municipales'!AC63</f>
        <v>0</v>
      </c>
      <c r="F62" s="4">
        <f>'Gastos Municipales'!AD63</f>
        <v>0</v>
      </c>
    </row>
    <row r="63" spans="1:6" ht="15">
      <c r="A63" s="4" t="s">
        <v>120</v>
      </c>
      <c r="B63" s="4" t="s">
        <v>121</v>
      </c>
      <c r="C63" s="4">
        <f>'Gastos Municipales'!AA64</f>
        <v>0</v>
      </c>
      <c r="D63" s="4">
        <f>'Gastos Municipales'!AB64</f>
        <v>0</v>
      </c>
      <c r="E63" s="4">
        <f>'Gastos Municipales'!AC64</f>
        <v>0</v>
      </c>
      <c r="F63" s="4">
        <f>'Gastos Municipales'!AD64</f>
        <v>0</v>
      </c>
    </row>
    <row r="64" spans="1:6" ht="15">
      <c r="A64" s="4" t="s">
        <v>122</v>
      </c>
      <c r="B64" s="4" t="s">
        <v>123</v>
      </c>
      <c r="C64" s="4">
        <f>'Gastos Municipales'!AA65</f>
        <v>0</v>
      </c>
      <c r="D64" s="4">
        <f>'Gastos Municipales'!AB65</f>
        <v>0</v>
      </c>
      <c r="E64" s="4">
        <f>'Gastos Municipales'!AC65</f>
        <v>0</v>
      </c>
      <c r="F64" s="4">
        <f>'Gastos Municipales'!AD65</f>
        <v>0</v>
      </c>
    </row>
    <row r="65" spans="1:6" ht="15">
      <c r="A65" s="5" t="s">
        <v>124</v>
      </c>
      <c r="B65" s="5" t="s">
        <v>125</v>
      </c>
      <c r="C65" s="5">
        <f>'Gastos Municipales'!AA66</f>
        <v>0</v>
      </c>
      <c r="D65" s="5">
        <f>'Gastos Municipales'!AB66</f>
        <v>0</v>
      </c>
      <c r="E65" s="5">
        <f>'Gastos Municipales'!AC66</f>
        <v>0</v>
      </c>
      <c r="F65" s="5">
        <f>'Gastos Municipales'!AD66</f>
        <v>0</v>
      </c>
    </row>
    <row r="66" spans="1:6" ht="15">
      <c r="A66" s="4" t="s">
        <v>126</v>
      </c>
      <c r="B66" s="4" t="s">
        <v>127</v>
      </c>
      <c r="C66" s="4">
        <f>'Gastos Municipales'!AA67</f>
        <v>0</v>
      </c>
      <c r="D66" s="4">
        <f>'Gastos Municipales'!AB67</f>
        <v>0</v>
      </c>
      <c r="E66" s="4">
        <f>'Gastos Municipales'!AC67</f>
        <v>0</v>
      </c>
      <c r="F66" s="4">
        <f>'Gastos Municipales'!AD67</f>
        <v>0</v>
      </c>
    </row>
    <row r="67" spans="1:6" ht="15">
      <c r="A67" s="4" t="s">
        <v>128</v>
      </c>
      <c r="B67" s="4" t="s">
        <v>129</v>
      </c>
      <c r="C67" s="4">
        <f>'Gastos Municipales'!AA68</f>
        <v>0</v>
      </c>
      <c r="D67" s="4">
        <f>'Gastos Municipales'!AB68</f>
        <v>0</v>
      </c>
      <c r="E67" s="4">
        <f>'Gastos Municipales'!AC68</f>
        <v>0</v>
      </c>
      <c r="F67" s="4">
        <f>'Gastos Municipales'!AD68</f>
        <v>0</v>
      </c>
    </row>
    <row r="68" spans="1:6" ht="15">
      <c r="A68" s="5" t="s">
        <v>130</v>
      </c>
      <c r="B68" s="5" t="s">
        <v>131</v>
      </c>
      <c r="C68" s="5">
        <f>'Gastos Municipales'!AA69</f>
        <v>0</v>
      </c>
      <c r="D68" s="5">
        <f>'Gastos Municipales'!AB69</f>
        <v>0</v>
      </c>
      <c r="E68" s="5">
        <f>'Gastos Municipales'!AC69</f>
        <v>0</v>
      </c>
      <c r="F68" s="5">
        <f>'Gastos Municipales'!AD69</f>
        <v>0</v>
      </c>
    </row>
    <row r="69" spans="1:6" ht="15">
      <c r="A69" s="5" t="s">
        <v>132</v>
      </c>
      <c r="B69" s="5" t="s">
        <v>133</v>
      </c>
      <c r="C69" s="5">
        <f>'Gastos Municipales'!AA70</f>
        <v>0</v>
      </c>
      <c r="D69" s="5">
        <f>'Gastos Municipales'!AB70</f>
        <v>0</v>
      </c>
      <c r="E69" s="5">
        <f>'Gastos Municipales'!AC70</f>
        <v>0</v>
      </c>
      <c r="F69" s="5">
        <f>'Gastos Municipales'!AD70</f>
        <v>0</v>
      </c>
    </row>
    <row r="70" spans="1:6" ht="15">
      <c r="A70" s="5" t="s">
        <v>134</v>
      </c>
      <c r="B70" s="5" t="s">
        <v>135</v>
      </c>
      <c r="C70" s="5">
        <f>'Gastos Municipales'!AA71</f>
        <v>45191</v>
      </c>
      <c r="D70" s="5">
        <f>'Gastos Municipales'!AB71</f>
        <v>45191</v>
      </c>
      <c r="E70" s="5">
        <f>'Gastos Municipales'!AC71</f>
        <v>0</v>
      </c>
      <c r="F70" s="5">
        <f>'Gastos Municipales'!AD71</f>
        <v>45191</v>
      </c>
    </row>
    <row r="71" spans="1:6" ht="15">
      <c r="A71" s="5" t="s">
        <v>136</v>
      </c>
      <c r="B71" s="5" t="s">
        <v>137</v>
      </c>
      <c r="C71" s="5">
        <f>'Gastos Municipales'!AA72</f>
        <v>24048</v>
      </c>
      <c r="D71" s="5">
        <f>'Gastos Municipales'!AB72</f>
        <v>24048</v>
      </c>
      <c r="E71" s="5">
        <f>'Gastos Municipales'!AC72</f>
        <v>13838</v>
      </c>
      <c r="F71" s="5">
        <f>'Gastos Municipales'!AD72</f>
        <v>10210</v>
      </c>
    </row>
    <row r="72" spans="1:6" ht="15">
      <c r="A72" s="5" t="s">
        <v>138</v>
      </c>
      <c r="B72" s="5" t="s">
        <v>139</v>
      </c>
      <c r="C72" s="5">
        <f>'Gastos Municipales'!AA73</f>
        <v>0</v>
      </c>
      <c r="D72" s="5">
        <f>'Gastos Municipales'!AB73</f>
        <v>0</v>
      </c>
      <c r="E72" s="5">
        <f>'Gastos Municipales'!AC73</f>
        <v>0</v>
      </c>
      <c r="F72" s="5">
        <f>'Gastos Municipales'!AD73</f>
        <v>0</v>
      </c>
    </row>
    <row r="73" spans="1:6" ht="15">
      <c r="A73" s="4" t="s">
        <v>140</v>
      </c>
      <c r="B73" s="4" t="s">
        <v>141</v>
      </c>
      <c r="C73" s="4">
        <f>'Gastos Municipales'!AA74</f>
        <v>0</v>
      </c>
      <c r="D73" s="4">
        <f>'Gastos Municipales'!AB74</f>
        <v>0</v>
      </c>
      <c r="E73" s="4">
        <f>'Gastos Municipales'!AC74</f>
        <v>0</v>
      </c>
      <c r="F73" s="4">
        <f>'Gastos Municipales'!AD74</f>
        <v>0</v>
      </c>
    </row>
    <row r="74" spans="1:6" ht="15">
      <c r="A74" s="5" t="s">
        <v>142</v>
      </c>
      <c r="B74" s="5" t="s">
        <v>143</v>
      </c>
      <c r="C74" s="5">
        <f>'Gastos Municipales'!AA75</f>
        <v>0</v>
      </c>
      <c r="D74" s="5">
        <f>'Gastos Municipales'!AB75</f>
        <v>0</v>
      </c>
      <c r="E74" s="5">
        <f>'Gastos Municipales'!AC75</f>
        <v>0</v>
      </c>
      <c r="F74" s="5">
        <f>'Gastos Municipales'!AD75</f>
        <v>0</v>
      </c>
    </row>
    <row r="75" spans="1:6" ht="16.5">
      <c r="A75" s="8" t="s">
        <v>144</v>
      </c>
      <c r="B75" s="8" t="s">
        <v>145</v>
      </c>
      <c r="C75" s="8">
        <f>'Gastos Municipales'!AA76</f>
        <v>15263</v>
      </c>
      <c r="D75" s="8">
        <f>'Gastos Municipales'!AB76</f>
        <v>15263</v>
      </c>
      <c r="E75" s="8">
        <f>'Gastos Municipales'!AC76</f>
        <v>9123</v>
      </c>
      <c r="F75" s="8">
        <f>'Gastos Municipales'!AD76</f>
        <v>6140</v>
      </c>
    </row>
    <row r="76" spans="1:6" ht="15">
      <c r="A76" s="5" t="s">
        <v>146</v>
      </c>
      <c r="B76" s="5" t="s">
        <v>147</v>
      </c>
      <c r="C76" s="5">
        <f>'Gastos Municipales'!AA77</f>
        <v>6256</v>
      </c>
      <c r="D76" s="5">
        <f>'Gastos Municipales'!AB77</f>
        <v>6256</v>
      </c>
      <c r="E76" s="5">
        <f>'Gastos Municipales'!AC77</f>
        <v>3956</v>
      </c>
      <c r="F76" s="5">
        <f>'Gastos Municipales'!AD77</f>
        <v>2300</v>
      </c>
    </row>
    <row r="77" spans="1:6" ht="15">
      <c r="A77" s="5" t="s">
        <v>148</v>
      </c>
      <c r="B77" s="5" t="s">
        <v>149</v>
      </c>
      <c r="C77" s="5">
        <f>'Gastos Municipales'!AA78</f>
        <v>9007</v>
      </c>
      <c r="D77" s="5">
        <f>'Gastos Municipales'!AB78</f>
        <v>9007</v>
      </c>
      <c r="E77" s="5">
        <f>'Gastos Municipales'!AC78</f>
        <v>5167</v>
      </c>
      <c r="F77" s="5">
        <f>'Gastos Municipales'!AD78</f>
        <v>3840</v>
      </c>
    </row>
    <row r="78" spans="1:6" ht="16.5">
      <c r="A78" s="8" t="s">
        <v>150</v>
      </c>
      <c r="B78" s="8" t="s">
        <v>151</v>
      </c>
      <c r="C78" s="8">
        <f>'Gastos Municipales'!AA79</f>
        <v>73553</v>
      </c>
      <c r="D78" s="8">
        <f>'Gastos Municipales'!AB79</f>
        <v>73553</v>
      </c>
      <c r="E78" s="8">
        <f>'Gastos Municipales'!AC79</f>
        <v>12622</v>
      </c>
      <c r="F78" s="8">
        <f>'Gastos Municipales'!AD79</f>
        <v>60931</v>
      </c>
    </row>
    <row r="79" spans="1:6" ht="15">
      <c r="A79" s="5" t="s">
        <v>152</v>
      </c>
      <c r="B79" s="5" t="s">
        <v>153</v>
      </c>
      <c r="C79" s="5">
        <f>'Gastos Municipales'!AA80</f>
        <v>73553</v>
      </c>
      <c r="D79" s="5">
        <f>'Gastos Municipales'!AB80</f>
        <v>73553</v>
      </c>
      <c r="E79" s="5">
        <f>'Gastos Municipales'!AC80</f>
        <v>12622</v>
      </c>
      <c r="F79" s="5">
        <f>'Gastos Municipales'!AD80</f>
        <v>60931</v>
      </c>
    </row>
    <row r="80" spans="1:6" ht="15">
      <c r="A80" s="4" t="s">
        <v>154</v>
      </c>
      <c r="B80" s="4" t="s">
        <v>155</v>
      </c>
      <c r="C80" s="4">
        <f>'Gastos Municipales'!AA81</f>
        <v>73553</v>
      </c>
      <c r="D80" s="4">
        <f>'Gastos Municipales'!AB81</f>
        <v>73553</v>
      </c>
      <c r="E80" s="4">
        <f>'Gastos Municipales'!AC81</f>
        <v>12622</v>
      </c>
      <c r="F80" s="4">
        <f>'Gastos Municipales'!AD81</f>
        <v>60931</v>
      </c>
    </row>
    <row r="81" spans="1:6" ht="15">
      <c r="A81" s="4" t="s">
        <v>156</v>
      </c>
      <c r="B81" s="4" t="s">
        <v>157</v>
      </c>
      <c r="C81" s="4">
        <f>'Gastos Municipales'!AA82</f>
        <v>0</v>
      </c>
      <c r="D81" s="4">
        <f>'Gastos Municipales'!AB82</f>
        <v>0</v>
      </c>
      <c r="E81" s="4">
        <f>'Gastos Municipales'!AC82</f>
        <v>0</v>
      </c>
      <c r="F81" s="4">
        <f>'Gastos Municipales'!AD82</f>
        <v>0</v>
      </c>
    </row>
    <row r="82" spans="1:6" ht="15">
      <c r="A82" s="5" t="s">
        <v>158</v>
      </c>
      <c r="B82" s="5" t="s">
        <v>159</v>
      </c>
      <c r="C82" s="5">
        <f>'Gastos Municipales'!AA83</f>
        <v>0</v>
      </c>
      <c r="D82" s="5">
        <f>'Gastos Municipales'!AB83</f>
        <v>0</v>
      </c>
      <c r="E82" s="5">
        <f>'Gastos Municipales'!AC83</f>
        <v>0</v>
      </c>
      <c r="F82" s="5">
        <f>'Gastos Municipales'!AD83</f>
        <v>0</v>
      </c>
    </row>
    <row r="83" spans="1:6" ht="15">
      <c r="A83" s="4" t="s">
        <v>160</v>
      </c>
      <c r="B83" s="4" t="s">
        <v>155</v>
      </c>
      <c r="C83" s="4">
        <f>'Gastos Municipales'!AA84</f>
        <v>0</v>
      </c>
      <c r="D83" s="4">
        <f>'Gastos Municipales'!AB84</f>
        <v>0</v>
      </c>
      <c r="E83" s="4">
        <f>'Gastos Municipales'!AC84</f>
        <v>0</v>
      </c>
      <c r="F83" s="4">
        <f>'Gastos Municipales'!AD84</f>
        <v>0</v>
      </c>
    </row>
    <row r="84" spans="1:6" ht="15">
      <c r="A84" s="4" t="s">
        <v>161</v>
      </c>
      <c r="B84" s="4" t="s">
        <v>162</v>
      </c>
      <c r="C84" s="4">
        <f>'Gastos Municipales'!AA85</f>
        <v>0</v>
      </c>
      <c r="D84" s="4">
        <f>'Gastos Municipales'!AB85</f>
        <v>0</v>
      </c>
      <c r="E84" s="4">
        <f>'Gastos Municipales'!AC85</f>
        <v>0</v>
      </c>
      <c r="F84" s="4">
        <f>'Gastos Municipales'!AD85</f>
        <v>0</v>
      </c>
    </row>
    <row r="85" spans="1:6" ht="15">
      <c r="A85" s="4" t="s">
        <v>163</v>
      </c>
      <c r="B85" s="4" t="s">
        <v>164</v>
      </c>
      <c r="C85" s="4">
        <f>'Gastos Municipales'!AA86</f>
        <v>0</v>
      </c>
      <c r="D85" s="4">
        <f>'Gastos Municipales'!AB86</f>
        <v>0</v>
      </c>
      <c r="E85" s="4">
        <f>'Gastos Municipales'!AC86</f>
        <v>0</v>
      </c>
      <c r="F85" s="4">
        <f>'Gastos Municipales'!AD86</f>
        <v>0</v>
      </c>
    </row>
    <row r="86" spans="1:6" ht="15">
      <c r="A86" s="5" t="s">
        <v>165</v>
      </c>
      <c r="B86" s="5" t="s">
        <v>166</v>
      </c>
      <c r="C86" s="5">
        <f>'Gastos Municipales'!AA87</f>
        <v>0</v>
      </c>
      <c r="D86" s="5">
        <f>'Gastos Municipales'!AB87</f>
        <v>0</v>
      </c>
      <c r="E86" s="5">
        <f>'Gastos Municipales'!AC87</f>
        <v>0</v>
      </c>
      <c r="F86" s="5">
        <f>'Gastos Municipales'!AD87</f>
        <v>0</v>
      </c>
    </row>
    <row r="87" spans="1:6" ht="15">
      <c r="A87" s="4" t="s">
        <v>167</v>
      </c>
      <c r="B87" s="4" t="s">
        <v>155</v>
      </c>
      <c r="C87" s="4">
        <f>'Gastos Municipales'!AA88</f>
        <v>0</v>
      </c>
      <c r="D87" s="4">
        <f>'Gastos Municipales'!AB88</f>
        <v>0</v>
      </c>
      <c r="E87" s="4">
        <f>'Gastos Municipales'!AC88</f>
        <v>0</v>
      </c>
      <c r="F87" s="4">
        <f>'Gastos Municipales'!AD88</f>
        <v>0</v>
      </c>
    </row>
    <row r="88" spans="1:6" ht="15">
      <c r="A88" s="4" t="s">
        <v>168</v>
      </c>
      <c r="B88" s="4" t="s">
        <v>169</v>
      </c>
      <c r="C88" s="4">
        <f>'Gastos Municipales'!AA89</f>
        <v>0</v>
      </c>
      <c r="D88" s="4">
        <f>'Gastos Municipales'!AB89</f>
        <v>0</v>
      </c>
      <c r="E88" s="4">
        <f>'Gastos Municipales'!AC89</f>
        <v>0</v>
      </c>
      <c r="F88" s="4">
        <f>'Gastos Municipales'!AD89</f>
        <v>0</v>
      </c>
    </row>
    <row r="89" spans="1:6" ht="15">
      <c r="A89" s="4" t="s">
        <v>170</v>
      </c>
      <c r="B89" s="4" t="s">
        <v>171</v>
      </c>
      <c r="C89" s="4">
        <f>'Gastos Municipales'!AA90</f>
        <v>0</v>
      </c>
      <c r="D89" s="4">
        <f>'Gastos Municipales'!AB90</f>
        <v>0</v>
      </c>
      <c r="E89" s="4">
        <f>'Gastos Municipales'!AC90</f>
        <v>0</v>
      </c>
      <c r="F89" s="4">
        <f>'Gastos Municipales'!AD90</f>
        <v>0</v>
      </c>
    </row>
    <row r="90" spans="1:6" ht="15">
      <c r="A90" s="4" t="s">
        <v>172</v>
      </c>
      <c r="B90" s="4" t="s">
        <v>173</v>
      </c>
      <c r="C90" s="4">
        <f>'Gastos Municipales'!AA91</f>
        <v>0</v>
      </c>
      <c r="D90" s="4">
        <f>'Gastos Municipales'!AB91</f>
        <v>0</v>
      </c>
      <c r="E90" s="4">
        <f>'Gastos Municipales'!AC91</f>
        <v>0</v>
      </c>
      <c r="F90" s="4">
        <f>'Gastos Municipales'!AD91</f>
        <v>0</v>
      </c>
    </row>
    <row r="91" spans="1:6" ht="15">
      <c r="A91" s="4" t="s">
        <v>174</v>
      </c>
      <c r="B91" s="4" t="s">
        <v>175</v>
      </c>
      <c r="C91" s="4">
        <f>'Gastos Municipales'!AA92</f>
        <v>0</v>
      </c>
      <c r="D91" s="4">
        <f>'Gastos Municipales'!AB92</f>
        <v>0</v>
      </c>
      <c r="E91" s="4">
        <f>'Gastos Municipales'!AC92</f>
        <v>0</v>
      </c>
      <c r="F91" s="4">
        <f>'Gastos Municipales'!AD92</f>
        <v>0</v>
      </c>
    </row>
    <row r="92" spans="1:6" ht="16.5">
      <c r="A92" s="8" t="s">
        <v>176</v>
      </c>
      <c r="B92" s="8" t="s">
        <v>177</v>
      </c>
      <c r="C92" s="8">
        <f>'Gastos Municipales'!AA93</f>
        <v>92434</v>
      </c>
      <c r="D92" s="8">
        <f>'Gastos Municipales'!AB93</f>
        <v>92434</v>
      </c>
      <c r="E92" s="8">
        <f>'Gastos Municipales'!AC93</f>
        <v>23309</v>
      </c>
      <c r="F92" s="8">
        <f>'Gastos Municipales'!AD93</f>
        <v>69125</v>
      </c>
    </row>
    <row r="93" spans="1:6" ht="15">
      <c r="A93" s="5" t="s">
        <v>178</v>
      </c>
      <c r="B93" s="5" t="s">
        <v>179</v>
      </c>
      <c r="C93" s="5">
        <f>'Gastos Municipales'!AA94</f>
        <v>0</v>
      </c>
      <c r="D93" s="5">
        <f>'Gastos Municipales'!AB94</f>
        <v>0</v>
      </c>
      <c r="E93" s="5">
        <f>'Gastos Municipales'!AC94</f>
        <v>0</v>
      </c>
      <c r="F93" s="5">
        <f>'Gastos Municipales'!AD94</f>
        <v>0</v>
      </c>
    </row>
    <row r="94" spans="1:6" ht="15">
      <c r="A94" s="5" t="s">
        <v>180</v>
      </c>
      <c r="B94" s="5" t="s">
        <v>181</v>
      </c>
      <c r="C94" s="5">
        <f>'Gastos Municipales'!AA95</f>
        <v>0</v>
      </c>
      <c r="D94" s="5">
        <f>'Gastos Municipales'!AB95</f>
        <v>0</v>
      </c>
      <c r="E94" s="5">
        <f>'Gastos Municipales'!AC95</f>
        <v>0</v>
      </c>
      <c r="F94" s="5">
        <f>'Gastos Municipales'!AD95</f>
        <v>0</v>
      </c>
    </row>
    <row r="95" spans="1:6" ht="15">
      <c r="A95" s="5" t="s">
        <v>182</v>
      </c>
      <c r="B95" s="5" t="s">
        <v>183</v>
      </c>
      <c r="C95" s="5">
        <f>'Gastos Municipales'!AA96</f>
        <v>0</v>
      </c>
      <c r="D95" s="5">
        <f>'Gastos Municipales'!AB96</f>
        <v>0</v>
      </c>
      <c r="E95" s="5">
        <f>'Gastos Municipales'!AC96</f>
        <v>0</v>
      </c>
      <c r="F95" s="5">
        <f>'Gastos Municipales'!AD96</f>
        <v>0</v>
      </c>
    </row>
    <row r="96" spans="1:6" ht="15">
      <c r="A96" s="5" t="s">
        <v>184</v>
      </c>
      <c r="B96" s="5" t="s">
        <v>185</v>
      </c>
      <c r="C96" s="5">
        <f>'Gastos Municipales'!AA97</f>
        <v>0</v>
      </c>
      <c r="D96" s="5">
        <f>'Gastos Municipales'!AB97</f>
        <v>0</v>
      </c>
      <c r="E96" s="5">
        <f>'Gastos Municipales'!AC97</f>
        <v>0</v>
      </c>
      <c r="F96" s="5">
        <f>'Gastos Municipales'!AD97</f>
        <v>0</v>
      </c>
    </row>
    <row r="97" spans="1:6" ht="15">
      <c r="A97" s="5" t="s">
        <v>186</v>
      </c>
      <c r="B97" s="5" t="s">
        <v>187</v>
      </c>
      <c r="C97" s="5">
        <f>'Gastos Municipales'!AA98</f>
        <v>37386</v>
      </c>
      <c r="D97" s="5">
        <f>'Gastos Municipales'!AB98</f>
        <v>37386</v>
      </c>
      <c r="E97" s="5">
        <f>'Gastos Municipales'!AC98</f>
        <v>11821</v>
      </c>
      <c r="F97" s="5">
        <f>'Gastos Municipales'!AD98</f>
        <v>25565</v>
      </c>
    </row>
    <row r="98" spans="1:6" ht="15">
      <c r="A98" s="5" t="s">
        <v>188</v>
      </c>
      <c r="B98" s="5" t="s">
        <v>189</v>
      </c>
      <c r="C98" s="5">
        <f>'Gastos Municipales'!AA99</f>
        <v>28628</v>
      </c>
      <c r="D98" s="5">
        <f>'Gastos Municipales'!AB99</f>
        <v>28628</v>
      </c>
      <c r="E98" s="5">
        <f>'Gastos Municipales'!AC99</f>
        <v>6406</v>
      </c>
      <c r="F98" s="5">
        <f>'Gastos Municipales'!AD99</f>
        <v>22222</v>
      </c>
    </row>
    <row r="99" spans="1:6" ht="15">
      <c r="A99" s="5" t="s">
        <v>190</v>
      </c>
      <c r="B99" s="5" t="s">
        <v>191</v>
      </c>
      <c r="C99" s="5">
        <f>'Gastos Municipales'!AA100</f>
        <v>26420</v>
      </c>
      <c r="D99" s="5">
        <f>'Gastos Municipales'!AB100</f>
        <v>26420</v>
      </c>
      <c r="E99" s="5">
        <f>'Gastos Municipales'!AC100</f>
        <v>5082</v>
      </c>
      <c r="F99" s="5">
        <f>'Gastos Municipales'!AD100</f>
        <v>21338</v>
      </c>
    </row>
    <row r="100" spans="1:6" ht="16.5">
      <c r="A100" s="8" t="s">
        <v>192</v>
      </c>
      <c r="B100" s="8" t="s">
        <v>193</v>
      </c>
      <c r="C100" s="8">
        <f>'Gastos Municipales'!AA101</f>
        <v>17350</v>
      </c>
      <c r="D100" s="8">
        <f>'Gastos Municipales'!AB101</f>
        <v>17350</v>
      </c>
      <c r="E100" s="8">
        <f>'Gastos Municipales'!AC101</f>
        <v>18026</v>
      </c>
      <c r="F100" s="8">
        <f>'Gastos Municipales'!AD101</f>
        <v>-676</v>
      </c>
    </row>
    <row r="101" spans="1:6" ht="15">
      <c r="A101" s="5" t="s">
        <v>194</v>
      </c>
      <c r="B101" s="5" t="s">
        <v>195</v>
      </c>
      <c r="C101" s="5">
        <f>'Gastos Municipales'!AA102</f>
        <v>6800</v>
      </c>
      <c r="D101" s="5">
        <f>'Gastos Municipales'!AB102</f>
        <v>6800</v>
      </c>
      <c r="E101" s="5">
        <f>'Gastos Municipales'!AC102</f>
        <v>0</v>
      </c>
      <c r="F101" s="5">
        <f>'Gastos Municipales'!AD102</f>
        <v>6800</v>
      </c>
    </row>
    <row r="102" spans="1:6" ht="15">
      <c r="A102" s="4" t="s">
        <v>196</v>
      </c>
      <c r="B102" s="4" t="s">
        <v>197</v>
      </c>
      <c r="C102" s="4">
        <f>'Gastos Municipales'!AA103</f>
        <v>3400</v>
      </c>
      <c r="D102" s="4">
        <f>'Gastos Municipales'!AB103</f>
        <v>3400</v>
      </c>
      <c r="E102" s="4">
        <f>'Gastos Municipales'!AC103</f>
        <v>0</v>
      </c>
      <c r="F102" s="4">
        <f>'Gastos Municipales'!AD103</f>
        <v>3400</v>
      </c>
    </row>
    <row r="103" spans="1:6" ht="15">
      <c r="A103" s="4" t="s">
        <v>198</v>
      </c>
      <c r="B103" s="4" t="s">
        <v>199</v>
      </c>
      <c r="C103" s="4">
        <f>'Gastos Municipales'!AA104</f>
        <v>3400</v>
      </c>
      <c r="D103" s="4">
        <f>'Gastos Municipales'!AB104</f>
        <v>3400</v>
      </c>
      <c r="E103" s="4">
        <f>'Gastos Municipales'!AC104</f>
        <v>0</v>
      </c>
      <c r="F103" s="4">
        <f>'Gastos Municipales'!AD104</f>
        <v>3400</v>
      </c>
    </row>
    <row r="104" spans="1:6" ht="15">
      <c r="A104" s="5" t="s">
        <v>200</v>
      </c>
      <c r="B104" s="5" t="s">
        <v>201</v>
      </c>
      <c r="C104" s="5">
        <f>'Gastos Municipales'!AA105</f>
        <v>2500</v>
      </c>
      <c r="D104" s="5">
        <f>'Gastos Municipales'!AB105</f>
        <v>2500</v>
      </c>
      <c r="E104" s="5">
        <f>'Gastos Municipales'!AC105</f>
        <v>450</v>
      </c>
      <c r="F104" s="5">
        <f>'Gastos Municipales'!AD105</f>
        <v>2050</v>
      </c>
    </row>
    <row r="105" spans="1:6" ht="15">
      <c r="A105" s="5" t="s">
        <v>202</v>
      </c>
      <c r="B105" s="5" t="s">
        <v>203</v>
      </c>
      <c r="C105" s="5">
        <f>'Gastos Municipales'!AA106</f>
        <v>6800</v>
      </c>
      <c r="D105" s="5">
        <f>'Gastos Municipales'!AB106</f>
        <v>6800</v>
      </c>
      <c r="E105" s="5">
        <f>'Gastos Municipales'!AC106</f>
        <v>17413</v>
      </c>
      <c r="F105" s="5">
        <f>'Gastos Municipales'!AD106</f>
        <v>-10613</v>
      </c>
    </row>
    <row r="106" spans="1:6" ht="15">
      <c r="A106" s="4" t="s">
        <v>204</v>
      </c>
      <c r="B106" s="4" t="s">
        <v>205</v>
      </c>
      <c r="C106" s="4">
        <f>'Gastos Municipales'!AA107</f>
        <v>6800</v>
      </c>
      <c r="D106" s="4">
        <f>'Gastos Municipales'!AB107</f>
        <v>6800</v>
      </c>
      <c r="E106" s="4">
        <f>'Gastos Municipales'!AC107</f>
        <v>17413</v>
      </c>
      <c r="F106" s="4">
        <f>'Gastos Municipales'!AD107</f>
        <v>-10613</v>
      </c>
    </row>
    <row r="107" spans="1:6" ht="15">
      <c r="A107" s="5" t="s">
        <v>206</v>
      </c>
      <c r="B107" s="5" t="s">
        <v>207</v>
      </c>
      <c r="C107" s="5">
        <f>'Gastos Municipales'!AA108</f>
        <v>1250</v>
      </c>
      <c r="D107" s="5">
        <f>'Gastos Municipales'!AB108</f>
        <v>1250</v>
      </c>
      <c r="E107" s="5">
        <f>'Gastos Municipales'!AC108</f>
        <v>163</v>
      </c>
      <c r="F107" s="5">
        <f>'Gastos Municipales'!AD108</f>
        <v>1087</v>
      </c>
    </row>
    <row r="108" spans="1:6" ht="16.5">
      <c r="A108" s="7" t="s">
        <v>208</v>
      </c>
      <c r="B108" s="7" t="s">
        <v>209</v>
      </c>
      <c r="C108" s="7">
        <f>'Gastos Municipales'!AA109</f>
        <v>151806</v>
      </c>
      <c r="D108" s="7">
        <f>'Gastos Municipales'!AB109</f>
        <v>151806</v>
      </c>
      <c r="E108" s="7">
        <f>'Gastos Municipales'!AC109</f>
        <v>66573</v>
      </c>
      <c r="F108" s="7">
        <f>'Gastos Municipales'!AD109</f>
        <v>85233</v>
      </c>
    </row>
    <row r="109" spans="1:6" ht="16.5">
      <c r="A109" s="8" t="s">
        <v>210</v>
      </c>
      <c r="B109" s="8" t="s">
        <v>5</v>
      </c>
      <c r="C109" s="8">
        <f>'Gastos Municipales'!AA110</f>
        <v>110656</v>
      </c>
      <c r="D109" s="8">
        <f>'Gastos Municipales'!AB110</f>
        <v>110656</v>
      </c>
      <c r="E109" s="8">
        <f>'Gastos Municipales'!AC110</f>
        <v>46892</v>
      </c>
      <c r="F109" s="8">
        <f>'Gastos Municipales'!AD110</f>
        <v>63764</v>
      </c>
    </row>
    <row r="110" spans="1:6" ht="15">
      <c r="A110" s="5" t="s">
        <v>211</v>
      </c>
      <c r="B110" s="5" t="s">
        <v>7</v>
      </c>
      <c r="C110" s="5">
        <f>'Gastos Municipales'!AA111</f>
        <v>26882</v>
      </c>
      <c r="D110" s="5">
        <f>'Gastos Municipales'!AB111</f>
        <v>26882</v>
      </c>
      <c r="E110" s="5">
        <f>'Gastos Municipales'!AC111</f>
        <v>15718</v>
      </c>
      <c r="F110" s="5">
        <f>'Gastos Municipales'!AD111</f>
        <v>11164</v>
      </c>
    </row>
    <row r="111" spans="1:6" ht="15">
      <c r="A111" s="5" t="s">
        <v>212</v>
      </c>
      <c r="B111" s="5" t="s">
        <v>9</v>
      </c>
      <c r="C111" s="5">
        <f>'Gastos Municipales'!AA112</f>
        <v>2331</v>
      </c>
      <c r="D111" s="5">
        <f>'Gastos Municipales'!AB112</f>
        <v>2331</v>
      </c>
      <c r="E111" s="5">
        <f>'Gastos Municipales'!AC112</f>
        <v>837</v>
      </c>
      <c r="F111" s="5">
        <f>'Gastos Municipales'!AD112</f>
        <v>1494</v>
      </c>
    </row>
    <row r="112" spans="1:6" ht="15">
      <c r="A112" s="4" t="s">
        <v>213</v>
      </c>
      <c r="B112" s="4" t="s">
        <v>11</v>
      </c>
      <c r="C112" s="4">
        <f>'Gastos Municipales'!AA113</f>
        <v>0</v>
      </c>
      <c r="D112" s="4">
        <f>'Gastos Municipales'!AB113</f>
        <v>0</v>
      </c>
      <c r="E112" s="4">
        <f>'Gastos Municipales'!AC113</f>
        <v>0</v>
      </c>
      <c r="F112" s="4">
        <f>'Gastos Municipales'!AD113</f>
        <v>0</v>
      </c>
    </row>
    <row r="113" spans="1:6" ht="15">
      <c r="A113" s="4" t="s">
        <v>214</v>
      </c>
      <c r="B113" s="4" t="s">
        <v>13</v>
      </c>
      <c r="C113" s="4">
        <f>'Gastos Municipales'!AA114</f>
        <v>2331</v>
      </c>
      <c r="D113" s="4">
        <f>'Gastos Municipales'!AB114</f>
        <v>2331</v>
      </c>
      <c r="E113" s="4">
        <f>'Gastos Municipales'!AC114</f>
        <v>837</v>
      </c>
      <c r="F113" s="4">
        <f>'Gastos Municipales'!AD114</f>
        <v>1494</v>
      </c>
    </row>
    <row r="114" spans="1:6" ht="15">
      <c r="A114" s="5" t="s">
        <v>215</v>
      </c>
      <c r="B114" s="5" t="s">
        <v>17</v>
      </c>
      <c r="C114" s="5">
        <f>'Gastos Municipales'!AA115</f>
        <v>0</v>
      </c>
      <c r="D114" s="5">
        <f>'Gastos Municipales'!AB115</f>
        <v>0</v>
      </c>
      <c r="E114" s="5">
        <f>'Gastos Municipales'!AC115</f>
        <v>0</v>
      </c>
      <c r="F114" s="5">
        <f>'Gastos Municipales'!AD115</f>
        <v>0</v>
      </c>
    </row>
    <row r="115" spans="1:6" ht="15">
      <c r="A115" s="5" t="s">
        <v>216</v>
      </c>
      <c r="B115" s="5" t="s">
        <v>21</v>
      </c>
      <c r="C115" s="5">
        <f>'Gastos Municipales'!AA116</f>
        <v>13172</v>
      </c>
      <c r="D115" s="5">
        <f>'Gastos Municipales'!AB116</f>
        <v>13172</v>
      </c>
      <c r="E115" s="5">
        <f>'Gastos Municipales'!AC116</f>
        <v>7702</v>
      </c>
      <c r="F115" s="5">
        <f>'Gastos Municipales'!AD116</f>
        <v>5470</v>
      </c>
    </row>
    <row r="116" spans="1:6" ht="15">
      <c r="A116" s="4" t="s">
        <v>217</v>
      </c>
      <c r="B116" s="4" t="s">
        <v>23</v>
      </c>
      <c r="C116" s="4">
        <f>'Gastos Municipales'!AA117</f>
        <v>13172</v>
      </c>
      <c r="D116" s="4">
        <f>'Gastos Municipales'!AB117</f>
        <v>13172</v>
      </c>
      <c r="E116" s="4">
        <f>'Gastos Municipales'!AC117</f>
        <v>7702</v>
      </c>
      <c r="F116" s="4">
        <f>'Gastos Municipales'!AD117</f>
        <v>5470</v>
      </c>
    </row>
    <row r="117" spans="1:6" ht="15">
      <c r="A117" s="4" t="s">
        <v>218</v>
      </c>
      <c r="B117" s="4" t="s">
        <v>25</v>
      </c>
      <c r="C117" s="4">
        <f>'Gastos Municipales'!AA118</f>
        <v>0</v>
      </c>
      <c r="D117" s="4">
        <f>'Gastos Municipales'!AB118</f>
        <v>0</v>
      </c>
      <c r="E117" s="4">
        <f>'Gastos Municipales'!AC118</f>
        <v>0</v>
      </c>
      <c r="F117" s="4">
        <f>'Gastos Municipales'!AD118</f>
        <v>0</v>
      </c>
    </row>
    <row r="118" spans="1:6" ht="15">
      <c r="A118" s="4" t="s">
        <v>219</v>
      </c>
      <c r="B118" s="4" t="s">
        <v>29</v>
      </c>
      <c r="C118" s="4">
        <f>'Gastos Municipales'!AA119</f>
        <v>0</v>
      </c>
      <c r="D118" s="4">
        <f>'Gastos Municipales'!AB119</f>
        <v>0</v>
      </c>
      <c r="E118" s="4">
        <f>'Gastos Municipales'!AC119</f>
        <v>0</v>
      </c>
      <c r="F118" s="4">
        <f>'Gastos Municipales'!AD119</f>
        <v>0</v>
      </c>
    </row>
    <row r="119" spans="1:6" ht="15">
      <c r="A119" s="5" t="s">
        <v>220</v>
      </c>
      <c r="B119" s="5" t="s">
        <v>221</v>
      </c>
      <c r="C119" s="5">
        <f>'Gastos Municipales'!AA120</f>
        <v>33549</v>
      </c>
      <c r="D119" s="5">
        <f>'Gastos Municipales'!AB120</f>
        <v>33549</v>
      </c>
      <c r="E119" s="5">
        <f>'Gastos Municipales'!AC120</f>
        <v>10934</v>
      </c>
      <c r="F119" s="5">
        <f>'Gastos Municipales'!AD120</f>
        <v>22615</v>
      </c>
    </row>
    <row r="120" spans="1:6" ht="15">
      <c r="A120" s="4" t="s">
        <v>222</v>
      </c>
      <c r="B120" s="4" t="s">
        <v>33</v>
      </c>
      <c r="C120" s="4">
        <f>'Gastos Municipales'!AA121</f>
        <v>33549</v>
      </c>
      <c r="D120" s="4">
        <f>'Gastos Municipales'!AB121</f>
        <v>33549</v>
      </c>
      <c r="E120" s="4">
        <f>'Gastos Municipales'!AC121</f>
        <v>10934</v>
      </c>
      <c r="F120" s="4">
        <f>'Gastos Municipales'!AD121</f>
        <v>22615</v>
      </c>
    </row>
    <row r="121" spans="1:6" ht="15">
      <c r="A121" s="4" t="s">
        <v>223</v>
      </c>
      <c r="B121" s="4" t="s">
        <v>224</v>
      </c>
      <c r="C121" s="4">
        <f>'Gastos Municipales'!AA122</f>
        <v>0</v>
      </c>
      <c r="D121" s="4">
        <f>'Gastos Municipales'!AB122</f>
        <v>0</v>
      </c>
      <c r="E121" s="4">
        <f>'Gastos Municipales'!AC122</f>
        <v>0</v>
      </c>
      <c r="F121" s="4">
        <f>'Gastos Municipales'!AD122</f>
        <v>0</v>
      </c>
    </row>
    <row r="122" spans="1:6" ht="15">
      <c r="A122" s="5" t="s">
        <v>225</v>
      </c>
      <c r="B122" s="5" t="s">
        <v>39</v>
      </c>
      <c r="C122" s="5">
        <f>'Gastos Municipales'!AA123</f>
        <v>0</v>
      </c>
      <c r="D122" s="5">
        <f>'Gastos Municipales'!AB123</f>
        <v>0</v>
      </c>
      <c r="E122" s="5">
        <f>'Gastos Municipales'!AC123</f>
        <v>0</v>
      </c>
      <c r="F122" s="5">
        <f>'Gastos Municipales'!AD123</f>
        <v>0</v>
      </c>
    </row>
    <row r="123" spans="1:6" ht="15">
      <c r="A123" s="4" t="s">
        <v>226</v>
      </c>
      <c r="B123" s="4" t="s">
        <v>41</v>
      </c>
      <c r="C123" s="4">
        <f>'Gastos Municipales'!AA124</f>
        <v>0</v>
      </c>
      <c r="D123" s="4">
        <f>'Gastos Municipales'!AB124</f>
        <v>0</v>
      </c>
      <c r="E123" s="4">
        <f>'Gastos Municipales'!AC124</f>
        <v>0</v>
      </c>
      <c r="F123" s="4">
        <f>'Gastos Municipales'!AD124</f>
        <v>0</v>
      </c>
    </row>
    <row r="124" spans="1:6" ht="15">
      <c r="A124" s="4" t="s">
        <v>227</v>
      </c>
      <c r="B124" s="4" t="s">
        <v>43</v>
      </c>
      <c r="C124" s="4">
        <f>'Gastos Municipales'!AA125</f>
        <v>0</v>
      </c>
      <c r="D124" s="4">
        <f>'Gastos Municipales'!AB125</f>
        <v>0</v>
      </c>
      <c r="E124" s="4">
        <f>'Gastos Municipales'!AC125</f>
        <v>0</v>
      </c>
      <c r="F124" s="4">
        <f>'Gastos Municipales'!AD125</f>
        <v>0</v>
      </c>
    </row>
    <row r="125" spans="1:6" ht="15">
      <c r="A125" s="5" t="s">
        <v>228</v>
      </c>
      <c r="B125" s="5" t="s">
        <v>45</v>
      </c>
      <c r="C125" s="5">
        <f>'Gastos Municipales'!AA126</f>
        <v>3272</v>
      </c>
      <c r="D125" s="5">
        <f>'Gastos Municipales'!AB126</f>
        <v>3272</v>
      </c>
      <c r="E125" s="5">
        <f>'Gastos Municipales'!AC126</f>
        <v>2303</v>
      </c>
      <c r="F125" s="5">
        <f>'Gastos Municipales'!AD126</f>
        <v>969</v>
      </c>
    </row>
    <row r="126" spans="1:6" ht="15">
      <c r="A126" s="4" t="s">
        <v>229</v>
      </c>
      <c r="B126" s="4" t="s">
        <v>47</v>
      </c>
      <c r="C126" s="4">
        <f>'Gastos Municipales'!AA127</f>
        <v>0</v>
      </c>
      <c r="D126" s="4">
        <f>'Gastos Municipales'!AB127</f>
        <v>0</v>
      </c>
      <c r="E126" s="4">
        <f>'Gastos Municipales'!AC127</f>
        <v>0</v>
      </c>
      <c r="F126" s="4">
        <f>'Gastos Municipales'!AD127</f>
        <v>0</v>
      </c>
    </row>
    <row r="127" spans="1:6" ht="15">
      <c r="A127" s="4" t="s">
        <v>230</v>
      </c>
      <c r="B127" s="4" t="s">
        <v>49</v>
      </c>
      <c r="C127" s="4">
        <f>'Gastos Municipales'!AA128</f>
        <v>0</v>
      </c>
      <c r="D127" s="4">
        <f>'Gastos Municipales'!AB128</f>
        <v>0</v>
      </c>
      <c r="E127" s="4">
        <f>'Gastos Municipales'!AC128</f>
        <v>0</v>
      </c>
      <c r="F127" s="4">
        <f>'Gastos Municipales'!AD128</f>
        <v>0</v>
      </c>
    </row>
    <row r="128" spans="1:6" ht="15">
      <c r="A128" s="4" t="s">
        <v>231</v>
      </c>
      <c r="B128" s="4" t="s">
        <v>51</v>
      </c>
      <c r="C128" s="4">
        <f>'Gastos Municipales'!AA129</f>
        <v>0</v>
      </c>
      <c r="D128" s="4">
        <f>'Gastos Municipales'!AB129</f>
        <v>0</v>
      </c>
      <c r="E128" s="4">
        <f>'Gastos Municipales'!AC129</f>
        <v>0</v>
      </c>
      <c r="F128" s="4">
        <f>'Gastos Municipales'!AD129</f>
        <v>0</v>
      </c>
    </row>
    <row r="129" spans="1:6" ht="15">
      <c r="A129" s="4" t="s">
        <v>232</v>
      </c>
      <c r="B129" s="4" t="s">
        <v>53</v>
      </c>
      <c r="C129" s="4">
        <f>'Gastos Municipales'!AA130</f>
        <v>0</v>
      </c>
      <c r="D129" s="4">
        <f>'Gastos Municipales'!AB130</f>
        <v>0</v>
      </c>
      <c r="E129" s="4">
        <f>'Gastos Municipales'!AC130</f>
        <v>0</v>
      </c>
      <c r="F129" s="4">
        <f>'Gastos Municipales'!AD130</f>
        <v>0</v>
      </c>
    </row>
    <row r="130" spans="1:6" ht="15">
      <c r="A130" s="4" t="s">
        <v>233</v>
      </c>
      <c r="B130" s="4" t="s">
        <v>55</v>
      </c>
      <c r="C130" s="4">
        <f>'Gastos Municipales'!AA131</f>
        <v>3272</v>
      </c>
      <c r="D130" s="4">
        <f>'Gastos Municipales'!AB131</f>
        <v>3272</v>
      </c>
      <c r="E130" s="4">
        <f>'Gastos Municipales'!AC131</f>
        <v>2303</v>
      </c>
      <c r="F130" s="4">
        <f>'Gastos Municipales'!AD131</f>
        <v>969</v>
      </c>
    </row>
    <row r="131" spans="1:6" ht="15">
      <c r="A131" s="4" t="s">
        <v>234</v>
      </c>
      <c r="B131" s="4" t="s">
        <v>57</v>
      </c>
      <c r="C131" s="4">
        <f>'Gastos Municipales'!AA132</f>
        <v>0</v>
      </c>
      <c r="D131" s="4">
        <f>'Gastos Municipales'!AB132</f>
        <v>0</v>
      </c>
      <c r="E131" s="4">
        <f>'Gastos Municipales'!AC132</f>
        <v>0</v>
      </c>
      <c r="F131" s="4">
        <f>'Gastos Municipales'!AD132</f>
        <v>0</v>
      </c>
    </row>
    <row r="132" spans="1:6" ht="15">
      <c r="A132" s="4" t="s">
        <v>235</v>
      </c>
      <c r="B132" s="4" t="s">
        <v>59</v>
      </c>
      <c r="C132" s="4">
        <f>'Gastos Municipales'!AA133</f>
        <v>0</v>
      </c>
      <c r="D132" s="4">
        <f>'Gastos Municipales'!AB133</f>
        <v>0</v>
      </c>
      <c r="E132" s="4">
        <f>'Gastos Municipales'!AC133</f>
        <v>0</v>
      </c>
      <c r="F132" s="4">
        <f>'Gastos Municipales'!AD133</f>
        <v>0</v>
      </c>
    </row>
    <row r="133" spans="1:6" ht="15">
      <c r="A133" s="4" t="s">
        <v>236</v>
      </c>
      <c r="B133" s="4" t="s">
        <v>61</v>
      </c>
      <c r="C133" s="4">
        <f>'Gastos Municipales'!AA134</f>
        <v>0</v>
      </c>
      <c r="D133" s="4">
        <f>'Gastos Municipales'!AB134</f>
        <v>0</v>
      </c>
      <c r="E133" s="4">
        <f>'Gastos Municipales'!AC134</f>
        <v>0</v>
      </c>
      <c r="F133" s="4">
        <f>'Gastos Municipales'!AD134</f>
        <v>0</v>
      </c>
    </row>
    <row r="134" spans="1:6" ht="15">
      <c r="A134" s="5" t="s">
        <v>237</v>
      </c>
      <c r="B134" s="5" t="s">
        <v>63</v>
      </c>
      <c r="C134" s="5">
        <f>'Gastos Municipales'!AA135</f>
        <v>62</v>
      </c>
      <c r="D134" s="5">
        <f>'Gastos Municipales'!AB135</f>
        <v>62</v>
      </c>
      <c r="E134" s="5">
        <f>'Gastos Municipales'!AC135</f>
        <v>0</v>
      </c>
      <c r="F134" s="5">
        <f>'Gastos Municipales'!AD135</f>
        <v>62</v>
      </c>
    </row>
    <row r="135" spans="1:6" ht="15">
      <c r="A135" s="4" t="s">
        <v>238</v>
      </c>
      <c r="B135" s="4" t="s">
        <v>65</v>
      </c>
      <c r="C135" s="4">
        <f>'Gastos Municipales'!AA136</f>
        <v>62</v>
      </c>
      <c r="D135" s="4">
        <f>'Gastos Municipales'!AB136</f>
        <v>62</v>
      </c>
      <c r="E135" s="4">
        <f>'Gastos Municipales'!AC136</f>
        <v>0</v>
      </c>
      <c r="F135" s="4">
        <f>'Gastos Municipales'!AD136</f>
        <v>62</v>
      </c>
    </row>
    <row r="136" spans="1:6" ht="15">
      <c r="A136" s="5" t="s">
        <v>239</v>
      </c>
      <c r="B136" s="5" t="s">
        <v>67</v>
      </c>
      <c r="C136" s="5">
        <f>'Gastos Municipales'!AA137</f>
        <v>0</v>
      </c>
      <c r="D136" s="5">
        <f>'Gastos Municipales'!AB137</f>
        <v>0</v>
      </c>
      <c r="E136" s="5">
        <f>'Gastos Municipales'!AC137</f>
        <v>0</v>
      </c>
      <c r="F136" s="5">
        <f>'Gastos Municipales'!AD137</f>
        <v>0</v>
      </c>
    </row>
    <row r="137" spans="1:6" ht="15">
      <c r="A137" s="4" t="s">
        <v>240</v>
      </c>
      <c r="B137" s="4" t="s">
        <v>69</v>
      </c>
      <c r="C137" s="4">
        <f>'Gastos Municipales'!AA138</f>
        <v>0</v>
      </c>
      <c r="D137" s="4">
        <f>'Gastos Municipales'!AB138</f>
        <v>0</v>
      </c>
      <c r="E137" s="4">
        <f>'Gastos Municipales'!AC138</f>
        <v>0</v>
      </c>
      <c r="F137" s="4">
        <f>'Gastos Municipales'!AD138</f>
        <v>0</v>
      </c>
    </row>
    <row r="138" spans="1:6" ht="15">
      <c r="A138" s="5" t="s">
        <v>241</v>
      </c>
      <c r="B138" s="5" t="s">
        <v>71</v>
      </c>
      <c r="C138" s="5">
        <f>'Gastos Municipales'!AA139</f>
        <v>14318</v>
      </c>
      <c r="D138" s="5">
        <f>'Gastos Municipales'!AB139</f>
        <v>14318</v>
      </c>
      <c r="E138" s="5">
        <f>'Gastos Municipales'!AC139</f>
        <v>6767</v>
      </c>
      <c r="F138" s="5">
        <f>'Gastos Municipales'!AD139</f>
        <v>7551</v>
      </c>
    </row>
    <row r="139" spans="1:6" ht="15">
      <c r="A139" s="4" t="s">
        <v>242</v>
      </c>
      <c r="B139" s="4" t="s">
        <v>73</v>
      </c>
      <c r="C139" s="4">
        <f>'Gastos Municipales'!AA140</f>
        <v>5779</v>
      </c>
      <c r="D139" s="4">
        <f>'Gastos Municipales'!AB140</f>
        <v>5779</v>
      </c>
      <c r="E139" s="4">
        <f>'Gastos Municipales'!AC140</f>
        <v>3380</v>
      </c>
      <c r="F139" s="4">
        <f>'Gastos Municipales'!AD140</f>
        <v>2399</v>
      </c>
    </row>
    <row r="140" spans="1:6" ht="15">
      <c r="A140" s="4" t="s">
        <v>243</v>
      </c>
      <c r="B140" s="4" t="s">
        <v>75</v>
      </c>
      <c r="C140" s="4">
        <f>'Gastos Municipales'!AA141</f>
        <v>2478</v>
      </c>
      <c r="D140" s="4">
        <f>'Gastos Municipales'!AB141</f>
        <v>2478</v>
      </c>
      <c r="E140" s="4">
        <f>'Gastos Municipales'!AC141</f>
        <v>783</v>
      </c>
      <c r="F140" s="4">
        <f>'Gastos Municipales'!AD141</f>
        <v>1695</v>
      </c>
    </row>
    <row r="141" spans="1:6" ht="15">
      <c r="A141" s="4" t="s">
        <v>244</v>
      </c>
      <c r="B141" s="4" t="s">
        <v>77</v>
      </c>
      <c r="C141" s="4">
        <f>'Gastos Municipales'!AA142</f>
        <v>6061</v>
      </c>
      <c r="D141" s="4">
        <f>'Gastos Municipales'!AB142</f>
        <v>6061</v>
      </c>
      <c r="E141" s="4">
        <f>'Gastos Municipales'!AC142</f>
        <v>1977</v>
      </c>
      <c r="F141" s="4">
        <f>'Gastos Municipales'!AD142</f>
        <v>4084</v>
      </c>
    </row>
    <row r="142" spans="1:6" ht="15">
      <c r="A142" s="4" t="s">
        <v>245</v>
      </c>
      <c r="B142" s="4" t="s">
        <v>79</v>
      </c>
      <c r="C142" s="4">
        <f>'Gastos Municipales'!AA143</f>
        <v>0</v>
      </c>
      <c r="D142" s="4">
        <f>'Gastos Municipales'!AB143</f>
        <v>0</v>
      </c>
      <c r="E142" s="4">
        <f>'Gastos Municipales'!AC143</f>
        <v>627</v>
      </c>
      <c r="F142" s="4">
        <f>'Gastos Municipales'!AD143</f>
        <v>-627</v>
      </c>
    </row>
    <row r="143" spans="1:6" ht="15">
      <c r="A143" s="4" t="s">
        <v>246</v>
      </c>
      <c r="B143" s="4" t="s">
        <v>81</v>
      </c>
      <c r="C143" s="4">
        <f>'Gastos Municipales'!AA144</f>
        <v>0</v>
      </c>
      <c r="D143" s="4">
        <f>'Gastos Municipales'!AB144</f>
        <v>0</v>
      </c>
      <c r="E143" s="4">
        <f>'Gastos Municipales'!AC144</f>
        <v>0</v>
      </c>
      <c r="F143" s="4">
        <f>'Gastos Municipales'!AD144</f>
        <v>0</v>
      </c>
    </row>
    <row r="144" spans="1:6" ht="15">
      <c r="A144" s="4" t="s">
        <v>247</v>
      </c>
      <c r="B144" s="4" t="s">
        <v>83</v>
      </c>
      <c r="C144" s="4">
        <f>'Gastos Municipales'!AA145</f>
        <v>0</v>
      </c>
      <c r="D144" s="4">
        <f>'Gastos Municipales'!AB145</f>
        <v>0</v>
      </c>
      <c r="E144" s="4">
        <f>'Gastos Municipales'!AC145</f>
        <v>0</v>
      </c>
      <c r="F144" s="4">
        <f>'Gastos Municipales'!AD145</f>
        <v>0</v>
      </c>
    </row>
    <row r="145" spans="1:6" ht="15">
      <c r="A145" s="4" t="s">
        <v>248</v>
      </c>
      <c r="B145" s="4" t="s">
        <v>85</v>
      </c>
      <c r="C145" s="4">
        <f>'Gastos Municipales'!AA146</f>
        <v>0</v>
      </c>
      <c r="D145" s="4">
        <f>'Gastos Municipales'!AB146</f>
        <v>0</v>
      </c>
      <c r="E145" s="4">
        <f>'Gastos Municipales'!AC146</f>
        <v>0</v>
      </c>
      <c r="F145" s="4">
        <f>'Gastos Municipales'!AD146</f>
        <v>0</v>
      </c>
    </row>
    <row r="146" spans="1:6" ht="15">
      <c r="A146" s="4" t="s">
        <v>249</v>
      </c>
      <c r="B146" s="4" t="s">
        <v>87</v>
      </c>
      <c r="C146" s="4">
        <f>'Gastos Municipales'!AA147</f>
        <v>0</v>
      </c>
      <c r="D146" s="4">
        <f>'Gastos Municipales'!AB147</f>
        <v>0</v>
      </c>
      <c r="E146" s="4">
        <f>'Gastos Municipales'!AC147</f>
        <v>0</v>
      </c>
      <c r="F146" s="4">
        <f>'Gastos Municipales'!AD147</f>
        <v>0</v>
      </c>
    </row>
    <row r="147" spans="1:6" ht="15">
      <c r="A147" s="5" t="s">
        <v>250</v>
      </c>
      <c r="B147" s="5" t="s">
        <v>251</v>
      </c>
      <c r="C147" s="5">
        <f>'Gastos Municipales'!AA148</f>
        <v>3779</v>
      </c>
      <c r="D147" s="5">
        <f>'Gastos Municipales'!AB148</f>
        <v>3779</v>
      </c>
      <c r="E147" s="5">
        <f>'Gastos Municipales'!AC148</f>
        <v>2631</v>
      </c>
      <c r="F147" s="5">
        <f>'Gastos Municipales'!AD148</f>
        <v>1148</v>
      </c>
    </row>
    <row r="148" spans="1:6" ht="15">
      <c r="A148" s="4" t="s">
        <v>252</v>
      </c>
      <c r="B148" s="4" t="s">
        <v>253</v>
      </c>
      <c r="C148" s="4">
        <f>'Gastos Municipales'!AA149</f>
        <v>3779</v>
      </c>
      <c r="D148" s="4">
        <f>'Gastos Municipales'!AB149</f>
        <v>3779</v>
      </c>
      <c r="E148" s="4">
        <f>'Gastos Municipales'!AC149</f>
        <v>2631</v>
      </c>
      <c r="F148" s="4">
        <f>'Gastos Municipales'!AD149</f>
        <v>1148</v>
      </c>
    </row>
    <row r="149" spans="1:6" ht="15">
      <c r="A149" s="4" t="s">
        <v>254</v>
      </c>
      <c r="B149" s="4" t="s">
        <v>93</v>
      </c>
      <c r="C149" s="4">
        <f>'Gastos Municipales'!AA150</f>
        <v>0</v>
      </c>
      <c r="D149" s="4">
        <f>'Gastos Municipales'!AB150</f>
        <v>0</v>
      </c>
      <c r="E149" s="4">
        <f>'Gastos Municipales'!AC150</f>
        <v>0</v>
      </c>
      <c r="F149" s="4">
        <f>'Gastos Municipales'!AD150</f>
        <v>0</v>
      </c>
    </row>
    <row r="150" spans="1:6" ht="15">
      <c r="A150" s="5" t="s">
        <v>255</v>
      </c>
      <c r="B150" s="5" t="s">
        <v>95</v>
      </c>
      <c r="C150" s="5">
        <f>'Gastos Municipales'!AA151</f>
        <v>0</v>
      </c>
      <c r="D150" s="5">
        <f>'Gastos Municipales'!AB151</f>
        <v>0</v>
      </c>
      <c r="E150" s="5">
        <f>'Gastos Municipales'!AC151</f>
        <v>0</v>
      </c>
      <c r="F150" s="5">
        <f>'Gastos Municipales'!AD151</f>
        <v>0</v>
      </c>
    </row>
    <row r="151" spans="1:6" ht="15">
      <c r="A151" s="4" t="s">
        <v>256</v>
      </c>
      <c r="B151" s="4" t="s">
        <v>99</v>
      </c>
      <c r="C151" s="4">
        <f>'Gastos Municipales'!AA152</f>
        <v>0</v>
      </c>
      <c r="D151" s="4">
        <f>'Gastos Municipales'!AB152</f>
        <v>0</v>
      </c>
      <c r="E151" s="4">
        <f>'Gastos Municipales'!AC152</f>
        <v>0</v>
      </c>
      <c r="F151" s="4">
        <f>'Gastos Municipales'!AD152</f>
        <v>0</v>
      </c>
    </row>
    <row r="152" spans="1:6" ht="15">
      <c r="A152" s="4" t="s">
        <v>257</v>
      </c>
      <c r="B152" s="4" t="s">
        <v>101</v>
      </c>
      <c r="C152" s="4">
        <f>'Gastos Municipales'!AA153</f>
        <v>0</v>
      </c>
      <c r="D152" s="4">
        <f>'Gastos Municipales'!AB153</f>
        <v>0</v>
      </c>
      <c r="E152" s="4">
        <f>'Gastos Municipales'!AC153</f>
        <v>0</v>
      </c>
      <c r="F152" s="4">
        <f>'Gastos Municipales'!AD153</f>
        <v>0</v>
      </c>
    </row>
    <row r="153" spans="1:6" ht="15">
      <c r="A153" s="5" t="s">
        <v>258</v>
      </c>
      <c r="B153" s="5" t="s">
        <v>259</v>
      </c>
      <c r="C153" s="5">
        <f>'Gastos Municipales'!AA155</f>
        <v>0</v>
      </c>
      <c r="D153" s="5">
        <f>'Gastos Municipales'!AB155</f>
        <v>0</v>
      </c>
      <c r="E153" s="5">
        <f>'Gastos Municipales'!AC155</f>
        <v>0</v>
      </c>
      <c r="F153" s="5">
        <f>'Gastos Municipales'!AD155</f>
        <v>0</v>
      </c>
    </row>
    <row r="154" spans="1:6" ht="15">
      <c r="A154" s="5" t="s">
        <v>260</v>
      </c>
      <c r="B154" s="5" t="s">
        <v>115</v>
      </c>
      <c r="C154" s="5">
        <f>'Gastos Municipales'!AA156</f>
        <v>0</v>
      </c>
      <c r="D154" s="5">
        <f>'Gastos Municipales'!AB156</f>
        <v>0</v>
      </c>
      <c r="E154" s="5">
        <f>'Gastos Municipales'!AC156</f>
        <v>0</v>
      </c>
      <c r="F154" s="5">
        <f>'Gastos Municipales'!AD156</f>
        <v>0</v>
      </c>
    </row>
    <row r="155" spans="1:6" ht="15">
      <c r="A155" s="4" t="s">
        <v>261</v>
      </c>
      <c r="B155" s="4" t="s">
        <v>117</v>
      </c>
      <c r="C155" s="4">
        <f>'Gastos Municipales'!AA157</f>
        <v>0</v>
      </c>
      <c r="D155" s="4">
        <f>'Gastos Municipales'!AB157</f>
        <v>0</v>
      </c>
      <c r="E155" s="4">
        <f>'Gastos Municipales'!AC157</f>
        <v>0</v>
      </c>
      <c r="F155" s="4">
        <f>'Gastos Municipales'!AD157</f>
        <v>0</v>
      </c>
    </row>
    <row r="156" spans="1:6" ht="15">
      <c r="A156" s="4" t="s">
        <v>262</v>
      </c>
      <c r="B156" s="4" t="s">
        <v>119</v>
      </c>
      <c r="C156" s="4">
        <f>'Gastos Municipales'!AA158</f>
        <v>0</v>
      </c>
      <c r="D156" s="4">
        <f>'Gastos Municipales'!AB158</f>
        <v>0</v>
      </c>
      <c r="E156" s="4">
        <f>'Gastos Municipales'!AC158</f>
        <v>0</v>
      </c>
      <c r="F156" s="4">
        <f>'Gastos Municipales'!AD158</f>
        <v>0</v>
      </c>
    </row>
    <row r="157" spans="1:6" ht="15">
      <c r="A157" s="5" t="s">
        <v>263</v>
      </c>
      <c r="B157" s="5" t="s">
        <v>264</v>
      </c>
      <c r="C157" s="5">
        <f>'Gastos Municipales'!AA159</f>
        <v>0</v>
      </c>
      <c r="D157" s="5">
        <f>'Gastos Municipales'!AB159</f>
        <v>0</v>
      </c>
      <c r="E157" s="5">
        <f>'Gastos Municipales'!AC159</f>
        <v>0</v>
      </c>
      <c r="F157" s="5">
        <f>'Gastos Municipales'!AD159</f>
        <v>0</v>
      </c>
    </row>
    <row r="158" spans="1:6" ht="15">
      <c r="A158" s="5" t="s">
        <v>265</v>
      </c>
      <c r="B158" s="5" t="s">
        <v>266</v>
      </c>
      <c r="C158" s="5">
        <f>'Gastos Municipales'!AA160</f>
        <v>0</v>
      </c>
      <c r="D158" s="5">
        <f>'Gastos Municipales'!AB160</f>
        <v>0</v>
      </c>
      <c r="E158" s="5">
        <f>'Gastos Municipales'!AC160</f>
        <v>0</v>
      </c>
      <c r="F158" s="5">
        <f>'Gastos Municipales'!AD160</f>
        <v>0</v>
      </c>
    </row>
    <row r="159" spans="1:6" ht="15">
      <c r="A159" s="5" t="s">
        <v>267</v>
      </c>
      <c r="B159" s="5" t="s">
        <v>125</v>
      </c>
      <c r="C159" s="5">
        <f>'Gastos Municipales'!AA161</f>
        <v>0</v>
      </c>
      <c r="D159" s="5">
        <f>'Gastos Municipales'!AB161</f>
        <v>0</v>
      </c>
      <c r="E159" s="5">
        <f>'Gastos Municipales'!AC161</f>
        <v>0</v>
      </c>
      <c r="F159" s="5">
        <f>'Gastos Municipales'!AD161</f>
        <v>0</v>
      </c>
    </row>
    <row r="160" spans="1:6" ht="15">
      <c r="A160" s="4" t="s">
        <v>268</v>
      </c>
      <c r="B160" s="4" t="s">
        <v>127</v>
      </c>
      <c r="C160" s="4">
        <f>'Gastos Municipales'!AA162</f>
        <v>0</v>
      </c>
      <c r="D160" s="4">
        <f>'Gastos Municipales'!AB162</f>
        <v>0</v>
      </c>
      <c r="E160" s="4">
        <f>'Gastos Municipales'!AC162</f>
        <v>0</v>
      </c>
      <c r="F160" s="4">
        <f>'Gastos Municipales'!AD162</f>
        <v>0</v>
      </c>
    </row>
    <row r="161" spans="1:6" ht="15">
      <c r="A161" s="4" t="s">
        <v>269</v>
      </c>
      <c r="B161" s="4" t="s">
        <v>129</v>
      </c>
      <c r="C161" s="4">
        <f>'Gastos Municipales'!AA163</f>
        <v>0</v>
      </c>
      <c r="D161" s="4">
        <f>'Gastos Municipales'!AB163</f>
        <v>0</v>
      </c>
      <c r="E161" s="4">
        <f>'Gastos Municipales'!AC163</f>
        <v>0</v>
      </c>
      <c r="F161" s="4">
        <f>'Gastos Municipales'!AD163</f>
        <v>0</v>
      </c>
    </row>
    <row r="162" spans="1:6" ht="15">
      <c r="A162" s="5" t="s">
        <v>270</v>
      </c>
      <c r="B162" s="5" t="s">
        <v>131</v>
      </c>
      <c r="C162" s="5">
        <f>'Gastos Municipales'!AA164</f>
        <v>0</v>
      </c>
      <c r="D162" s="5">
        <f>'Gastos Municipales'!AB164</f>
        <v>0</v>
      </c>
      <c r="E162" s="5">
        <f>'Gastos Municipales'!AC164</f>
        <v>0</v>
      </c>
      <c r="F162" s="5">
        <f>'Gastos Municipales'!AD164</f>
        <v>0</v>
      </c>
    </row>
    <row r="163" spans="1:6" ht="15">
      <c r="A163" s="5" t="s">
        <v>271</v>
      </c>
      <c r="B163" s="5" t="s">
        <v>133</v>
      </c>
      <c r="C163" s="5">
        <f>'Gastos Municipales'!AA165</f>
        <v>0</v>
      </c>
      <c r="D163" s="5">
        <f>'Gastos Municipales'!AB165</f>
        <v>0</v>
      </c>
      <c r="E163" s="5">
        <f>'Gastos Municipales'!AC165</f>
        <v>0</v>
      </c>
      <c r="F163" s="5">
        <f>'Gastos Municipales'!AD165</f>
        <v>0</v>
      </c>
    </row>
    <row r="164" spans="1:6" ht="15">
      <c r="A164" s="5" t="s">
        <v>272</v>
      </c>
      <c r="B164" s="5" t="s">
        <v>135</v>
      </c>
      <c r="C164" s="5">
        <f>'Gastos Municipales'!AA166</f>
        <v>13291</v>
      </c>
      <c r="D164" s="5">
        <f>'Gastos Municipales'!AB166</f>
        <v>13291</v>
      </c>
      <c r="E164" s="5">
        <f>'Gastos Municipales'!AC166</f>
        <v>0</v>
      </c>
      <c r="F164" s="5">
        <f>'Gastos Municipales'!AD166</f>
        <v>13291</v>
      </c>
    </row>
    <row r="165" spans="1:6" ht="15">
      <c r="A165" s="5" t="s">
        <v>273</v>
      </c>
      <c r="B165" s="5" t="s">
        <v>139</v>
      </c>
      <c r="C165" s="5">
        <f>'Gastos Municipales'!AA167</f>
        <v>0</v>
      </c>
      <c r="D165" s="5">
        <f>'Gastos Municipales'!AB167</f>
        <v>0</v>
      </c>
      <c r="E165" s="5">
        <f>'Gastos Municipales'!AC167</f>
        <v>0</v>
      </c>
      <c r="F165" s="5">
        <f>'Gastos Municipales'!AD167</f>
        <v>0</v>
      </c>
    </row>
    <row r="166" spans="1:6" ht="15">
      <c r="A166" s="5" t="s">
        <v>274</v>
      </c>
      <c r="B166" s="5" t="s">
        <v>143</v>
      </c>
      <c r="C166" s="5">
        <f>'Gastos Municipales'!AA168</f>
        <v>0</v>
      </c>
      <c r="D166" s="5">
        <f>'Gastos Municipales'!AB168</f>
        <v>0</v>
      </c>
      <c r="E166" s="5">
        <f>'Gastos Municipales'!AC168</f>
        <v>0</v>
      </c>
      <c r="F166" s="5">
        <f>'Gastos Municipales'!AD168</f>
        <v>0</v>
      </c>
    </row>
    <row r="167" spans="1:6" ht="16.5">
      <c r="A167" s="8" t="s">
        <v>275</v>
      </c>
      <c r="B167" s="8" t="s">
        <v>145</v>
      </c>
      <c r="C167" s="8">
        <f>'Gastos Municipales'!AA169</f>
        <v>3641</v>
      </c>
      <c r="D167" s="8">
        <f>'Gastos Municipales'!AB169</f>
        <v>3641</v>
      </c>
      <c r="E167" s="8">
        <f>'Gastos Municipales'!AC169</f>
        <v>3088</v>
      </c>
      <c r="F167" s="8">
        <f>'Gastos Municipales'!AD169</f>
        <v>553</v>
      </c>
    </row>
    <row r="168" spans="1:6" ht="15">
      <c r="A168" s="5" t="s">
        <v>276</v>
      </c>
      <c r="B168" s="5" t="s">
        <v>147</v>
      </c>
      <c r="C168" s="5">
        <f>'Gastos Municipales'!AA170</f>
        <v>1840</v>
      </c>
      <c r="D168" s="5">
        <f>'Gastos Municipales'!AB170</f>
        <v>1840</v>
      </c>
      <c r="E168" s="5">
        <f>'Gastos Municipales'!AC170</f>
        <v>1439</v>
      </c>
      <c r="F168" s="5">
        <f>'Gastos Municipales'!AD170</f>
        <v>401</v>
      </c>
    </row>
    <row r="169" spans="1:6" ht="15">
      <c r="A169" s="5" t="s">
        <v>277</v>
      </c>
      <c r="B169" s="5" t="s">
        <v>149</v>
      </c>
      <c r="C169" s="5">
        <f>'Gastos Municipales'!AA171</f>
        <v>1801</v>
      </c>
      <c r="D169" s="5">
        <f>'Gastos Municipales'!AB171</f>
        <v>1801</v>
      </c>
      <c r="E169" s="5">
        <f>'Gastos Municipales'!AC171</f>
        <v>1649</v>
      </c>
      <c r="F169" s="5">
        <f>'Gastos Municipales'!AD171</f>
        <v>152</v>
      </c>
    </row>
    <row r="170" spans="1:6" ht="16.5">
      <c r="A170" s="8" t="s">
        <v>278</v>
      </c>
      <c r="B170" s="8" t="s">
        <v>151</v>
      </c>
      <c r="C170" s="8">
        <f>'Gastos Municipales'!AA172</f>
        <v>14711</v>
      </c>
      <c r="D170" s="8">
        <f>'Gastos Municipales'!AB172</f>
        <v>14711</v>
      </c>
      <c r="E170" s="8">
        <f>'Gastos Municipales'!AC172</f>
        <v>5386</v>
      </c>
      <c r="F170" s="8">
        <f>'Gastos Municipales'!AD172</f>
        <v>9325</v>
      </c>
    </row>
    <row r="171" spans="1:6" ht="15">
      <c r="A171" s="5" t="s">
        <v>279</v>
      </c>
      <c r="B171" s="5" t="s">
        <v>153</v>
      </c>
      <c r="C171" s="5">
        <f>'Gastos Municipales'!AA173</f>
        <v>14711</v>
      </c>
      <c r="D171" s="5">
        <f>'Gastos Municipales'!AB173</f>
        <v>14711</v>
      </c>
      <c r="E171" s="5">
        <f>'Gastos Municipales'!AC173</f>
        <v>5386</v>
      </c>
      <c r="F171" s="5">
        <f>'Gastos Municipales'!AD173</f>
        <v>9325</v>
      </c>
    </row>
    <row r="172" spans="1:6" ht="15">
      <c r="A172" s="4" t="s">
        <v>280</v>
      </c>
      <c r="B172" s="4" t="s">
        <v>155</v>
      </c>
      <c r="C172" s="4">
        <f>'Gastos Municipales'!AA174</f>
        <v>14711</v>
      </c>
      <c r="D172" s="4">
        <f>'Gastos Municipales'!AB174</f>
        <v>14711</v>
      </c>
      <c r="E172" s="4">
        <f>'Gastos Municipales'!AC174</f>
        <v>5386</v>
      </c>
      <c r="F172" s="4">
        <f>'Gastos Municipales'!AD174</f>
        <v>9325</v>
      </c>
    </row>
    <row r="173" spans="1:6" ht="15">
      <c r="A173" s="4" t="s">
        <v>281</v>
      </c>
      <c r="B173" s="4" t="s">
        <v>157</v>
      </c>
      <c r="C173" s="4">
        <f>'Gastos Municipales'!AA175</f>
        <v>0</v>
      </c>
      <c r="D173" s="4">
        <f>'Gastos Municipales'!AB175</f>
        <v>0</v>
      </c>
      <c r="E173" s="4">
        <f>'Gastos Municipales'!AC175</f>
        <v>0</v>
      </c>
      <c r="F173" s="4">
        <f>'Gastos Municipales'!AD175</f>
        <v>0</v>
      </c>
    </row>
    <row r="174" spans="1:6" ht="15">
      <c r="A174" s="5" t="s">
        <v>282</v>
      </c>
      <c r="B174" s="5" t="s">
        <v>159</v>
      </c>
      <c r="C174" s="5">
        <f>'Gastos Municipales'!AA176</f>
        <v>0</v>
      </c>
      <c r="D174" s="5">
        <f>'Gastos Municipales'!AB176</f>
        <v>0</v>
      </c>
      <c r="E174" s="5">
        <f>'Gastos Municipales'!AC176</f>
        <v>0</v>
      </c>
      <c r="F174" s="5">
        <f>'Gastos Municipales'!AD176</f>
        <v>0</v>
      </c>
    </row>
    <row r="175" spans="1:6" ht="15">
      <c r="A175" s="4" t="s">
        <v>283</v>
      </c>
      <c r="B175" s="4" t="s">
        <v>155</v>
      </c>
      <c r="C175" s="4">
        <f>'Gastos Municipales'!AA177</f>
        <v>0</v>
      </c>
      <c r="D175" s="4">
        <f>'Gastos Municipales'!AB177</f>
        <v>0</v>
      </c>
      <c r="E175" s="4">
        <f>'Gastos Municipales'!AC177</f>
        <v>0</v>
      </c>
      <c r="F175" s="4">
        <f>'Gastos Municipales'!AD177</f>
        <v>0</v>
      </c>
    </row>
    <row r="176" spans="1:6" ht="15">
      <c r="A176" s="4" t="s">
        <v>284</v>
      </c>
      <c r="B176" s="4" t="s">
        <v>162</v>
      </c>
      <c r="C176" s="4">
        <f>'Gastos Municipales'!AA178</f>
        <v>0</v>
      </c>
      <c r="D176" s="4">
        <f>'Gastos Municipales'!AB178</f>
        <v>0</v>
      </c>
      <c r="E176" s="4">
        <f>'Gastos Municipales'!AC178</f>
        <v>0</v>
      </c>
      <c r="F176" s="4">
        <f>'Gastos Municipales'!AD178</f>
        <v>0</v>
      </c>
    </row>
    <row r="177" spans="1:6" ht="15">
      <c r="A177" s="4" t="s">
        <v>285</v>
      </c>
      <c r="B177" s="4" t="s">
        <v>164</v>
      </c>
      <c r="C177" s="4">
        <f>'Gastos Municipales'!AA179</f>
        <v>0</v>
      </c>
      <c r="D177" s="4">
        <f>'Gastos Municipales'!AB179</f>
        <v>0</v>
      </c>
      <c r="E177" s="4">
        <f>'Gastos Municipales'!AC179</f>
        <v>0</v>
      </c>
      <c r="F177" s="4">
        <f>'Gastos Municipales'!AD179</f>
        <v>0</v>
      </c>
    </row>
    <row r="178" spans="1:6" ht="15">
      <c r="A178" s="5" t="s">
        <v>286</v>
      </c>
      <c r="B178" s="5" t="s">
        <v>166</v>
      </c>
      <c r="C178" s="5">
        <f>'Gastos Municipales'!AA180</f>
        <v>0</v>
      </c>
      <c r="D178" s="5">
        <f>'Gastos Municipales'!AB180</f>
        <v>0</v>
      </c>
      <c r="E178" s="5">
        <f>'Gastos Municipales'!AC180</f>
        <v>0</v>
      </c>
      <c r="F178" s="5">
        <f>'Gastos Municipales'!AD180</f>
        <v>0</v>
      </c>
    </row>
    <row r="179" spans="1:6" ht="15">
      <c r="A179" s="4" t="s">
        <v>287</v>
      </c>
      <c r="B179" s="4" t="s">
        <v>171</v>
      </c>
      <c r="C179" s="4">
        <f>'Gastos Municipales'!AA181</f>
        <v>0</v>
      </c>
      <c r="D179" s="4">
        <f>'Gastos Municipales'!AB181</f>
        <v>0</v>
      </c>
      <c r="E179" s="4">
        <f>'Gastos Municipales'!AC181</f>
        <v>0</v>
      </c>
      <c r="F179" s="4">
        <f>'Gastos Municipales'!AD181</f>
        <v>0</v>
      </c>
    </row>
    <row r="180" spans="1:6" ht="15">
      <c r="A180" s="4" t="s">
        <v>288</v>
      </c>
      <c r="B180" s="4" t="s">
        <v>171</v>
      </c>
      <c r="C180" s="4">
        <f>'Gastos Municipales'!AA182</f>
        <v>0</v>
      </c>
      <c r="D180" s="4">
        <f>'Gastos Municipales'!AB182</f>
        <v>0</v>
      </c>
      <c r="E180" s="4">
        <f>'Gastos Municipales'!AC182</f>
        <v>0</v>
      </c>
      <c r="F180" s="4">
        <f>'Gastos Municipales'!AD182</f>
        <v>0</v>
      </c>
    </row>
    <row r="181" spans="1:6" ht="15">
      <c r="A181" s="4" t="s">
        <v>289</v>
      </c>
      <c r="B181" s="4" t="s">
        <v>173</v>
      </c>
      <c r="C181" s="4">
        <f>'Gastos Municipales'!AA183</f>
        <v>0</v>
      </c>
      <c r="D181" s="4">
        <f>'Gastos Municipales'!AB183</f>
        <v>0</v>
      </c>
      <c r="E181" s="4">
        <f>'Gastos Municipales'!AC183</f>
        <v>0</v>
      </c>
      <c r="F181" s="4">
        <f>'Gastos Municipales'!AD183</f>
        <v>0</v>
      </c>
    </row>
    <row r="182" spans="1:6" ht="15">
      <c r="A182" s="4" t="s">
        <v>290</v>
      </c>
      <c r="B182" s="4" t="s">
        <v>291</v>
      </c>
      <c r="C182" s="4">
        <f>'Gastos Municipales'!AA184</f>
        <v>0</v>
      </c>
      <c r="D182" s="4">
        <f>'Gastos Municipales'!AB184</f>
        <v>0</v>
      </c>
      <c r="E182" s="4">
        <f>'Gastos Municipales'!AC184</f>
        <v>0</v>
      </c>
      <c r="F182" s="4">
        <f>'Gastos Municipales'!AD184</f>
        <v>0</v>
      </c>
    </row>
    <row r="183" spans="1:6" ht="16.5">
      <c r="A183" s="8" t="s">
        <v>292</v>
      </c>
      <c r="B183" s="8" t="s">
        <v>177</v>
      </c>
      <c r="C183" s="8">
        <f>'Gastos Municipales'!AA185</f>
        <v>18538</v>
      </c>
      <c r="D183" s="8">
        <f>'Gastos Municipales'!AB185</f>
        <v>18538</v>
      </c>
      <c r="E183" s="8">
        <f>'Gastos Municipales'!AC185</f>
        <v>4298</v>
      </c>
      <c r="F183" s="8">
        <f>'Gastos Municipales'!AD185</f>
        <v>14240</v>
      </c>
    </row>
    <row r="184" spans="1:6" ht="15">
      <c r="A184" s="5" t="s">
        <v>293</v>
      </c>
      <c r="B184" s="5" t="s">
        <v>179</v>
      </c>
      <c r="C184" s="5">
        <f>'Gastos Municipales'!AA186</f>
        <v>0</v>
      </c>
      <c r="D184" s="5">
        <f>'Gastos Municipales'!AB186</f>
        <v>0</v>
      </c>
      <c r="E184" s="5">
        <f>'Gastos Municipales'!AC186</f>
        <v>0</v>
      </c>
      <c r="F184" s="5">
        <f>'Gastos Municipales'!AD186</f>
        <v>0</v>
      </c>
    </row>
    <row r="185" spans="1:6" ht="15">
      <c r="A185" s="5" t="s">
        <v>294</v>
      </c>
      <c r="B185" s="5" t="s">
        <v>181</v>
      </c>
      <c r="C185" s="5">
        <f>'Gastos Municipales'!AA187</f>
        <v>0</v>
      </c>
      <c r="D185" s="5">
        <f>'Gastos Municipales'!AB187</f>
        <v>0</v>
      </c>
      <c r="E185" s="5">
        <f>'Gastos Municipales'!AC187</f>
        <v>0</v>
      </c>
      <c r="F185" s="5">
        <f>'Gastos Municipales'!AD187</f>
        <v>0</v>
      </c>
    </row>
    <row r="186" spans="1:6" ht="15">
      <c r="A186" s="5" t="s">
        <v>295</v>
      </c>
      <c r="B186" s="5" t="s">
        <v>183</v>
      </c>
      <c r="C186" s="5">
        <f>'Gastos Municipales'!AA188</f>
        <v>0</v>
      </c>
      <c r="D186" s="5">
        <f>'Gastos Municipales'!AB188</f>
        <v>0</v>
      </c>
      <c r="E186" s="5">
        <f>'Gastos Municipales'!AC188</f>
        <v>0</v>
      </c>
      <c r="F186" s="5">
        <f>'Gastos Municipales'!AD188</f>
        <v>0</v>
      </c>
    </row>
    <row r="187" spans="1:6" ht="15">
      <c r="A187" s="5" t="s">
        <v>296</v>
      </c>
      <c r="B187" s="5" t="s">
        <v>185</v>
      </c>
      <c r="C187" s="5">
        <f>'Gastos Municipales'!AA189</f>
        <v>0</v>
      </c>
      <c r="D187" s="5">
        <f>'Gastos Municipales'!AB189</f>
        <v>0</v>
      </c>
      <c r="E187" s="5">
        <f>'Gastos Municipales'!AC189</f>
        <v>0</v>
      </c>
      <c r="F187" s="5">
        <f>'Gastos Municipales'!AD189</f>
        <v>0</v>
      </c>
    </row>
    <row r="188" spans="1:6" ht="15">
      <c r="A188" s="5" t="s">
        <v>297</v>
      </c>
      <c r="B188" s="5" t="s">
        <v>187</v>
      </c>
      <c r="C188" s="5">
        <f>'Gastos Municipales'!AA190</f>
        <v>7528</v>
      </c>
      <c r="D188" s="5">
        <f>'Gastos Municipales'!AB190</f>
        <v>7528</v>
      </c>
      <c r="E188" s="5">
        <f>'Gastos Municipales'!AC190</f>
        <v>2742</v>
      </c>
      <c r="F188" s="5">
        <f>'Gastos Municipales'!AD190</f>
        <v>4786</v>
      </c>
    </row>
    <row r="189" spans="1:6" ht="15">
      <c r="A189" s="5" t="s">
        <v>298</v>
      </c>
      <c r="B189" s="5" t="s">
        <v>189</v>
      </c>
      <c r="C189" s="5">
        <f>'Gastos Municipales'!AA191</f>
        <v>5726</v>
      </c>
      <c r="D189" s="5">
        <f>'Gastos Municipales'!AB191</f>
        <v>5726</v>
      </c>
      <c r="E189" s="5">
        <f>'Gastos Municipales'!AC191</f>
        <v>1556</v>
      </c>
      <c r="F189" s="5">
        <f>'Gastos Municipales'!AD191</f>
        <v>4170</v>
      </c>
    </row>
    <row r="190" spans="1:6" ht="15">
      <c r="A190" s="5" t="s">
        <v>299</v>
      </c>
      <c r="B190" s="5" t="s">
        <v>191</v>
      </c>
      <c r="C190" s="5">
        <f>'Gastos Municipales'!AA192</f>
        <v>5284</v>
      </c>
      <c r="D190" s="5">
        <f>'Gastos Municipales'!AB192</f>
        <v>5284</v>
      </c>
      <c r="E190" s="5">
        <f>'Gastos Municipales'!AC192</f>
        <v>0</v>
      </c>
      <c r="F190" s="5">
        <f>'Gastos Municipales'!AD192</f>
        <v>5284</v>
      </c>
    </row>
    <row r="191" spans="1:6" ht="16.5">
      <c r="A191" s="8" t="s">
        <v>300</v>
      </c>
      <c r="B191" s="8" t="s">
        <v>193</v>
      </c>
      <c r="C191" s="8">
        <f>'Gastos Municipales'!AA193</f>
        <v>4260</v>
      </c>
      <c r="D191" s="8">
        <f>'Gastos Municipales'!AB193</f>
        <v>4260</v>
      </c>
      <c r="E191" s="8">
        <f>'Gastos Municipales'!AC193</f>
        <v>6909</v>
      </c>
      <c r="F191" s="8">
        <f>'Gastos Municipales'!AD193</f>
        <v>-2649</v>
      </c>
    </row>
    <row r="192" spans="1:6" ht="15">
      <c r="A192" s="5" t="s">
        <v>301</v>
      </c>
      <c r="B192" s="5" t="s">
        <v>195</v>
      </c>
      <c r="C192" s="5">
        <f>'Gastos Municipales'!AA194</f>
        <v>2000</v>
      </c>
      <c r="D192" s="5">
        <f>'Gastos Municipales'!AB194</f>
        <v>2000</v>
      </c>
      <c r="E192" s="5">
        <f>'Gastos Municipales'!AC194</f>
        <v>0</v>
      </c>
      <c r="F192" s="5">
        <f>'Gastos Municipales'!AD194</f>
        <v>2000</v>
      </c>
    </row>
    <row r="193" spans="1:6" ht="15">
      <c r="A193" s="4" t="s">
        <v>302</v>
      </c>
      <c r="B193" s="4" t="s">
        <v>197</v>
      </c>
      <c r="C193" s="4">
        <f>'Gastos Municipales'!AA195</f>
        <v>1000</v>
      </c>
      <c r="D193" s="4">
        <f>'Gastos Municipales'!AB195</f>
        <v>1000</v>
      </c>
      <c r="E193" s="4">
        <f>'Gastos Municipales'!AC195</f>
        <v>0</v>
      </c>
      <c r="F193" s="4">
        <f>'Gastos Municipales'!AD195</f>
        <v>1000</v>
      </c>
    </row>
    <row r="194" spans="1:6" ht="15">
      <c r="A194" s="4" t="s">
        <v>303</v>
      </c>
      <c r="B194" s="4" t="s">
        <v>199</v>
      </c>
      <c r="C194" s="4">
        <f>'Gastos Municipales'!AA196</f>
        <v>1000</v>
      </c>
      <c r="D194" s="4">
        <f>'Gastos Municipales'!AB196</f>
        <v>1000</v>
      </c>
      <c r="E194" s="4">
        <f>'Gastos Municipales'!AC196</f>
        <v>0</v>
      </c>
      <c r="F194" s="4">
        <f>'Gastos Municipales'!AD196</f>
        <v>1000</v>
      </c>
    </row>
    <row r="195" spans="1:6" ht="15">
      <c r="A195" s="5" t="s">
        <v>304</v>
      </c>
      <c r="B195" s="5" t="s">
        <v>201</v>
      </c>
      <c r="C195" s="5">
        <f>'Gastos Municipales'!AA197</f>
        <v>600</v>
      </c>
      <c r="D195" s="5">
        <f>'Gastos Municipales'!AB197</f>
        <v>600</v>
      </c>
      <c r="E195" s="5">
        <f>'Gastos Municipales'!AC197</f>
        <v>91</v>
      </c>
      <c r="F195" s="5">
        <f>'Gastos Municipales'!AD197</f>
        <v>509</v>
      </c>
    </row>
    <row r="196" spans="1:6" ht="15">
      <c r="A196" s="5" t="s">
        <v>305</v>
      </c>
      <c r="B196" s="5" t="s">
        <v>203</v>
      </c>
      <c r="C196" s="5">
        <f>'Gastos Municipales'!AA198</f>
        <v>1360</v>
      </c>
      <c r="D196" s="5">
        <f>'Gastos Municipales'!AB198</f>
        <v>1360</v>
      </c>
      <c r="E196" s="5">
        <f>'Gastos Municipales'!AC198</f>
        <v>6791</v>
      </c>
      <c r="F196" s="5">
        <f>'Gastos Municipales'!AD198</f>
        <v>-5431</v>
      </c>
    </row>
    <row r="197" spans="1:6" ht="15">
      <c r="A197" s="4" t="s">
        <v>306</v>
      </c>
      <c r="B197" s="4" t="s">
        <v>205</v>
      </c>
      <c r="C197" s="4">
        <f>'Gastos Municipales'!AA199</f>
        <v>1360</v>
      </c>
      <c r="D197" s="4">
        <f>'Gastos Municipales'!AB199</f>
        <v>1360</v>
      </c>
      <c r="E197" s="4">
        <f>'Gastos Municipales'!AC199</f>
        <v>6791</v>
      </c>
      <c r="F197" s="4">
        <f>'Gastos Municipales'!AD199</f>
        <v>-5431</v>
      </c>
    </row>
    <row r="198" spans="1:6" ht="15">
      <c r="A198" s="5" t="s">
        <v>307</v>
      </c>
      <c r="B198" s="5" t="s">
        <v>207</v>
      </c>
      <c r="C198" s="5">
        <f>'Gastos Municipales'!AA200</f>
        <v>300</v>
      </c>
      <c r="D198" s="5">
        <f>'Gastos Municipales'!AB200</f>
        <v>300</v>
      </c>
      <c r="E198" s="5">
        <f>'Gastos Municipales'!AC200</f>
        <v>27</v>
      </c>
      <c r="F198" s="5">
        <f>'Gastos Municipales'!AD200</f>
        <v>273</v>
      </c>
    </row>
    <row r="199" spans="1:6" ht="16.5">
      <c r="A199" s="7" t="s">
        <v>308</v>
      </c>
      <c r="B199" s="7" t="s">
        <v>309</v>
      </c>
      <c r="C199" s="7">
        <f>'Gastos Municipales'!AA201</f>
        <v>59201</v>
      </c>
      <c r="D199" s="7">
        <f>'Gastos Municipales'!AB201</f>
        <v>59201</v>
      </c>
      <c r="E199" s="7">
        <f>'Gastos Municipales'!AC201</f>
        <v>18174</v>
      </c>
      <c r="F199" s="7">
        <f>'Gastos Municipales'!AD201</f>
        <v>41027</v>
      </c>
    </row>
    <row r="200" spans="1:6" ht="16.5">
      <c r="A200" s="8" t="s">
        <v>310</v>
      </c>
      <c r="B200" s="8" t="s">
        <v>311</v>
      </c>
      <c r="C200" s="8">
        <f>'Gastos Municipales'!AA202</f>
        <v>38837</v>
      </c>
      <c r="D200" s="8">
        <f>'Gastos Municipales'!AB202</f>
        <v>38837</v>
      </c>
      <c r="E200" s="8">
        <f>'Gastos Municipales'!AC202</f>
        <v>10042</v>
      </c>
      <c r="F200" s="8">
        <f>'Gastos Municipales'!AD202</f>
        <v>28795</v>
      </c>
    </row>
    <row r="201" spans="1:6" ht="16.5">
      <c r="A201" s="8" t="s">
        <v>312</v>
      </c>
      <c r="B201" s="8" t="s">
        <v>313</v>
      </c>
      <c r="C201" s="8">
        <f>'Gastos Municipales'!AA203</f>
        <v>0</v>
      </c>
      <c r="D201" s="8">
        <f>'Gastos Municipales'!AB203</f>
        <v>0</v>
      </c>
      <c r="E201" s="8">
        <f>'Gastos Municipales'!AC203</f>
        <v>0</v>
      </c>
      <c r="F201" s="8">
        <f>'Gastos Municipales'!AD203</f>
        <v>0</v>
      </c>
    </row>
    <row r="202" spans="1:6" ht="16.5">
      <c r="A202" s="8" t="s">
        <v>314</v>
      </c>
      <c r="B202" s="8" t="s">
        <v>315</v>
      </c>
      <c r="C202" s="8">
        <f>'Gastos Municipales'!AA204</f>
        <v>0</v>
      </c>
      <c r="D202" s="8">
        <f>'Gastos Municipales'!AB204</f>
        <v>0</v>
      </c>
      <c r="E202" s="8">
        <f>'Gastos Municipales'!AC204</f>
        <v>0</v>
      </c>
      <c r="F202" s="8">
        <f>'Gastos Municipales'!AD204</f>
        <v>0</v>
      </c>
    </row>
    <row r="203" spans="1:6" ht="16.5">
      <c r="A203" s="8" t="s">
        <v>316</v>
      </c>
      <c r="B203" s="8" t="s">
        <v>317</v>
      </c>
      <c r="C203" s="8">
        <f>'Gastos Municipales'!AA205</f>
        <v>19364</v>
      </c>
      <c r="D203" s="8">
        <f>'Gastos Municipales'!AB205</f>
        <v>19364</v>
      </c>
      <c r="E203" s="8">
        <f>'Gastos Municipales'!AC205</f>
        <v>7927</v>
      </c>
      <c r="F203" s="8">
        <f>'Gastos Municipales'!AD205</f>
        <v>11437</v>
      </c>
    </row>
    <row r="204" spans="1:6" ht="15">
      <c r="A204" s="5" t="s">
        <v>735</v>
      </c>
      <c r="B204" s="5" t="s">
        <v>736</v>
      </c>
      <c r="C204" s="5">
        <f>'Gastos Municipales'!AA206</f>
        <v>18120</v>
      </c>
      <c r="D204" s="5">
        <f>'Gastos Municipales'!AB206</f>
        <v>18120</v>
      </c>
      <c r="E204" s="5">
        <f>'Gastos Municipales'!AC206</f>
        <v>4859</v>
      </c>
      <c r="F204" s="5">
        <f>'Gastos Municipales'!AD206</f>
        <v>13261</v>
      </c>
    </row>
    <row r="205" spans="1:6" ht="15">
      <c r="A205" s="5" t="s">
        <v>737</v>
      </c>
      <c r="B205" s="5" t="s">
        <v>145</v>
      </c>
      <c r="C205" s="5">
        <f>'Gastos Municipales'!AA207</f>
        <v>544</v>
      </c>
      <c r="D205" s="5">
        <f>'Gastos Municipales'!AB207</f>
        <v>544</v>
      </c>
      <c r="E205" s="5">
        <f>'Gastos Municipales'!AC207</f>
        <v>60</v>
      </c>
      <c r="F205" s="5">
        <f>'Gastos Municipales'!AD207</f>
        <v>484</v>
      </c>
    </row>
    <row r="206" spans="1:6" ht="15">
      <c r="A206" s="5" t="s">
        <v>738</v>
      </c>
      <c r="B206" s="5" t="s">
        <v>177</v>
      </c>
      <c r="C206" s="5">
        <f>'Gastos Municipales'!AA208</f>
        <v>0</v>
      </c>
      <c r="D206" s="5">
        <f>'Gastos Municipales'!AB208</f>
        <v>0</v>
      </c>
      <c r="E206" s="5">
        <f>'Gastos Municipales'!AC208</f>
        <v>0</v>
      </c>
      <c r="F206" s="5">
        <f>'Gastos Municipales'!AD208</f>
        <v>0</v>
      </c>
    </row>
    <row r="207" spans="1:6" ht="15">
      <c r="A207" s="5" t="s">
        <v>739</v>
      </c>
      <c r="B207" s="5" t="s">
        <v>193</v>
      </c>
      <c r="C207" s="5">
        <f>'Gastos Municipales'!AA209</f>
        <v>700</v>
      </c>
      <c r="D207" s="5">
        <f>'Gastos Municipales'!AB209</f>
        <v>700</v>
      </c>
      <c r="E207" s="5">
        <f>'Gastos Municipales'!AC209</f>
        <v>3008</v>
      </c>
      <c r="F207" s="5">
        <f>'Gastos Municipales'!AD209</f>
        <v>-2308</v>
      </c>
    </row>
    <row r="208" spans="1:6" ht="16.5">
      <c r="A208" s="8" t="s">
        <v>318</v>
      </c>
      <c r="B208" s="8" t="s">
        <v>319</v>
      </c>
      <c r="C208" s="8">
        <f>'Gastos Municipales'!AA210</f>
        <v>0</v>
      </c>
      <c r="D208" s="8">
        <f>'Gastos Municipales'!AB210</f>
        <v>0</v>
      </c>
      <c r="E208" s="8">
        <f>'Gastos Municipales'!AC210</f>
        <v>0</v>
      </c>
      <c r="F208" s="8">
        <f>'Gastos Municipales'!AD210</f>
        <v>0</v>
      </c>
    </row>
    <row r="209" spans="1:6" ht="16.5">
      <c r="A209" s="8" t="s">
        <v>320</v>
      </c>
      <c r="B209" s="8" t="s">
        <v>321</v>
      </c>
      <c r="C209" s="8">
        <f>'Gastos Municipales'!AA211</f>
        <v>0</v>
      </c>
      <c r="D209" s="8">
        <f>'Gastos Municipales'!AB211</f>
        <v>0</v>
      </c>
      <c r="E209" s="8">
        <f>'Gastos Municipales'!AC211</f>
        <v>0</v>
      </c>
      <c r="F209" s="8">
        <f>'Gastos Municipales'!AD211</f>
        <v>0</v>
      </c>
    </row>
    <row r="210" spans="1:6" ht="16.5">
      <c r="A210" s="8" t="s">
        <v>322</v>
      </c>
      <c r="B210" s="8" t="s">
        <v>323</v>
      </c>
      <c r="C210" s="8">
        <f>'Gastos Municipales'!AA212</f>
        <v>0</v>
      </c>
      <c r="D210" s="8">
        <f>'Gastos Municipales'!AB212</f>
        <v>0</v>
      </c>
      <c r="E210" s="8">
        <f>'Gastos Municipales'!AC212</f>
        <v>0</v>
      </c>
      <c r="F210" s="8">
        <f>'Gastos Municipales'!AD212</f>
        <v>0</v>
      </c>
    </row>
    <row r="211" spans="1:6" ht="16.5">
      <c r="A211" s="8" t="s">
        <v>324</v>
      </c>
      <c r="B211" s="8" t="s">
        <v>325</v>
      </c>
      <c r="C211" s="8">
        <f>'Gastos Municipales'!AA213</f>
        <v>1000</v>
      </c>
      <c r="D211" s="8">
        <f>'Gastos Municipales'!AB213</f>
        <v>1000</v>
      </c>
      <c r="E211" s="8">
        <f>'Gastos Municipales'!AC213</f>
        <v>205</v>
      </c>
      <c r="F211" s="8">
        <f>'Gastos Municipales'!AD213</f>
        <v>795</v>
      </c>
    </row>
    <row r="212" spans="1:6" ht="15">
      <c r="A212" s="5" t="s">
        <v>326</v>
      </c>
      <c r="B212" s="5" t="s">
        <v>327</v>
      </c>
      <c r="C212" s="5">
        <f>'Gastos Municipales'!AA214</f>
        <v>0</v>
      </c>
      <c r="D212" s="5">
        <f>'Gastos Municipales'!AB214</f>
        <v>0</v>
      </c>
      <c r="E212" s="5">
        <f>'Gastos Municipales'!AC214</f>
        <v>0</v>
      </c>
      <c r="F212" s="5">
        <f>'Gastos Municipales'!AD214</f>
        <v>0</v>
      </c>
    </row>
    <row r="213" spans="1:6" ht="15">
      <c r="A213" s="5" t="s">
        <v>328</v>
      </c>
      <c r="B213" s="5" t="s">
        <v>325</v>
      </c>
      <c r="C213" s="5">
        <f>'Gastos Municipales'!AA215</f>
        <v>1000</v>
      </c>
      <c r="D213" s="5">
        <f>'Gastos Municipales'!AB215</f>
        <v>1000</v>
      </c>
      <c r="E213" s="5">
        <f>'Gastos Municipales'!AC215</f>
        <v>205</v>
      </c>
      <c r="F213" s="5">
        <f>'Gastos Municipales'!AD215</f>
        <v>795</v>
      </c>
    </row>
    <row r="214" spans="1:6" ht="16.5">
      <c r="A214" s="7" t="s">
        <v>329</v>
      </c>
      <c r="B214" s="7" t="s">
        <v>330</v>
      </c>
      <c r="C214" s="7">
        <f>'Gastos Municipales'!AA216</f>
        <v>276177</v>
      </c>
      <c r="D214" s="7">
        <f>'Gastos Municipales'!AB216</f>
        <v>276177</v>
      </c>
      <c r="E214" s="7">
        <f>'Gastos Municipales'!AC216</f>
        <v>77377</v>
      </c>
      <c r="F214" s="7">
        <f>'Gastos Municipales'!AD216</f>
        <v>198800</v>
      </c>
    </row>
    <row r="215" spans="1:6" ht="16.5">
      <c r="A215" s="8" t="s">
        <v>331</v>
      </c>
      <c r="B215" s="8" t="s">
        <v>332</v>
      </c>
      <c r="C215" s="8">
        <f>'Gastos Municipales'!AA217</f>
        <v>0</v>
      </c>
      <c r="D215" s="8">
        <f>'Gastos Municipales'!AB217</f>
        <v>0</v>
      </c>
      <c r="E215" s="8">
        <f>'Gastos Municipales'!AC217</f>
        <v>0</v>
      </c>
      <c r="F215" s="8">
        <f>'Gastos Municipales'!AD217</f>
        <v>0</v>
      </c>
    </row>
    <row r="216" spans="1:6" ht="15">
      <c r="A216" s="5" t="s">
        <v>333</v>
      </c>
      <c r="B216" s="5" t="s">
        <v>334</v>
      </c>
      <c r="C216" s="5">
        <f>'Gastos Municipales'!AA218</f>
        <v>0</v>
      </c>
      <c r="D216" s="5">
        <f>'Gastos Municipales'!AB218</f>
        <v>0</v>
      </c>
      <c r="E216" s="5">
        <f>'Gastos Municipales'!AC218</f>
        <v>0</v>
      </c>
      <c r="F216" s="5">
        <f>'Gastos Municipales'!AD218</f>
        <v>0</v>
      </c>
    </row>
    <row r="217" spans="1:6" ht="16.5">
      <c r="A217" s="8" t="s">
        <v>335</v>
      </c>
      <c r="B217" s="8" t="s">
        <v>336</v>
      </c>
      <c r="C217" s="8">
        <f>'Gastos Municipales'!AA219</f>
        <v>130577</v>
      </c>
      <c r="D217" s="8">
        <f>'Gastos Municipales'!AB219</f>
        <v>130577</v>
      </c>
      <c r="E217" s="8">
        <f>'Gastos Municipales'!AC219</f>
        <v>46591</v>
      </c>
      <c r="F217" s="8">
        <f>'Gastos Municipales'!AD219</f>
        <v>83986</v>
      </c>
    </row>
    <row r="218" spans="1:6" ht="15">
      <c r="A218" s="5" t="s">
        <v>740</v>
      </c>
      <c r="B218" s="5" t="s">
        <v>741</v>
      </c>
      <c r="C218" s="5">
        <f>'Gastos Municipales'!AA220</f>
        <v>53867</v>
      </c>
      <c r="D218" s="5">
        <f>'Gastos Municipales'!AB220</f>
        <v>53867</v>
      </c>
      <c r="E218" s="5">
        <f>'Gastos Municipales'!AC220</f>
        <v>27521</v>
      </c>
      <c r="F218" s="5">
        <f>'Gastos Municipales'!AD220</f>
        <v>26346</v>
      </c>
    </row>
    <row r="219" spans="1:6" ht="15">
      <c r="A219" s="5" t="s">
        <v>742</v>
      </c>
      <c r="B219" s="5" t="s">
        <v>743</v>
      </c>
      <c r="C219" s="5">
        <f>'Gastos Municipales'!AA221</f>
        <v>66000</v>
      </c>
      <c r="D219" s="5">
        <f>'Gastos Municipales'!AB221</f>
        <v>66000</v>
      </c>
      <c r="E219" s="5">
        <f>'Gastos Municipales'!AC221</f>
        <v>16105</v>
      </c>
      <c r="F219" s="5">
        <f>'Gastos Municipales'!AD221</f>
        <v>49895</v>
      </c>
    </row>
    <row r="220" spans="1:6" ht="15">
      <c r="A220" s="5" t="s">
        <v>744</v>
      </c>
      <c r="B220" s="5" t="s">
        <v>683</v>
      </c>
      <c r="C220" s="5">
        <f>'Gastos Municipales'!AA222</f>
        <v>10710</v>
      </c>
      <c r="D220" s="5">
        <f>'Gastos Municipales'!AB222</f>
        <v>10710</v>
      </c>
      <c r="E220" s="5">
        <f>'Gastos Municipales'!AC222</f>
        <v>2965</v>
      </c>
      <c r="F220" s="5">
        <f>'Gastos Municipales'!AD222</f>
        <v>7745</v>
      </c>
    </row>
    <row r="221" spans="1:6" ht="16.5">
      <c r="A221" s="8" t="s">
        <v>337</v>
      </c>
      <c r="B221" s="8" t="s">
        <v>338</v>
      </c>
      <c r="C221" s="8">
        <f>'Gastos Municipales'!AA223</f>
        <v>145600</v>
      </c>
      <c r="D221" s="8">
        <f>'Gastos Municipales'!AB223</f>
        <v>145600</v>
      </c>
      <c r="E221" s="8">
        <f>'Gastos Municipales'!AC223</f>
        <v>30786</v>
      </c>
      <c r="F221" s="8">
        <f>'Gastos Municipales'!AD223</f>
        <v>114814</v>
      </c>
    </row>
    <row r="222" spans="1:6" ht="16.5">
      <c r="A222" s="6" t="s">
        <v>339</v>
      </c>
      <c r="B222" s="6" t="s">
        <v>340</v>
      </c>
      <c r="C222" s="6">
        <f>'Gastos Municipales'!AA224</f>
        <v>926400</v>
      </c>
      <c r="D222" s="6">
        <f>'Gastos Municipales'!AB224</f>
        <v>926400</v>
      </c>
      <c r="E222" s="6">
        <f>'Gastos Municipales'!AC224</f>
        <v>466147</v>
      </c>
      <c r="F222" s="6">
        <f>'Gastos Municipales'!AD224</f>
        <v>460253</v>
      </c>
    </row>
    <row r="223" spans="1:6" ht="16.5">
      <c r="A223" s="7" t="s">
        <v>341</v>
      </c>
      <c r="B223" s="7" t="s">
        <v>342</v>
      </c>
      <c r="C223" s="7">
        <f>'Gastos Municipales'!AA225</f>
        <v>59100</v>
      </c>
      <c r="D223" s="7">
        <f>'Gastos Municipales'!AB225</f>
        <v>59100</v>
      </c>
      <c r="E223" s="7">
        <f>'Gastos Municipales'!AC225</f>
        <v>40911</v>
      </c>
      <c r="F223" s="7">
        <f>'Gastos Municipales'!AD225</f>
        <v>18189</v>
      </c>
    </row>
    <row r="224" spans="1:6" ht="16.5">
      <c r="A224" s="8" t="s">
        <v>343</v>
      </c>
      <c r="B224" s="8" t="s">
        <v>344</v>
      </c>
      <c r="C224" s="8">
        <f>'Gastos Municipales'!AA226</f>
        <v>55100</v>
      </c>
      <c r="D224" s="8">
        <f>'Gastos Municipales'!AB226</f>
        <v>55100</v>
      </c>
      <c r="E224" s="8">
        <f>'Gastos Municipales'!AC226</f>
        <v>40911</v>
      </c>
      <c r="F224" s="8">
        <f>'Gastos Municipales'!AD226</f>
        <v>14189</v>
      </c>
    </row>
    <row r="225" spans="1:6" ht="16.5">
      <c r="A225" s="8" t="s">
        <v>345</v>
      </c>
      <c r="B225" s="8" t="s">
        <v>346</v>
      </c>
      <c r="C225" s="8">
        <f>'Gastos Municipales'!AA227</f>
        <v>4000</v>
      </c>
      <c r="D225" s="8">
        <f>'Gastos Municipales'!AB227</f>
        <v>4000</v>
      </c>
      <c r="E225" s="8">
        <f>'Gastos Municipales'!AC227</f>
        <v>0</v>
      </c>
      <c r="F225" s="8">
        <f>'Gastos Municipales'!AD227</f>
        <v>4000</v>
      </c>
    </row>
    <row r="226" spans="1:6" ht="16.5">
      <c r="A226" s="7" t="s">
        <v>347</v>
      </c>
      <c r="B226" s="7" t="s">
        <v>348</v>
      </c>
      <c r="C226" s="7">
        <f>'Gastos Municipales'!AA228</f>
        <v>23000</v>
      </c>
      <c r="D226" s="7">
        <f>'Gastos Municipales'!AB228</f>
        <v>23000</v>
      </c>
      <c r="E226" s="7">
        <f>'Gastos Municipales'!AC228</f>
        <v>7922</v>
      </c>
      <c r="F226" s="7">
        <f>'Gastos Municipales'!AD228</f>
        <v>15078</v>
      </c>
    </row>
    <row r="227" spans="1:6" ht="16.5">
      <c r="A227" s="8" t="s">
        <v>349</v>
      </c>
      <c r="B227" s="8" t="s">
        <v>350</v>
      </c>
      <c r="C227" s="8">
        <f>'Gastos Municipales'!AA229</f>
        <v>2500</v>
      </c>
      <c r="D227" s="8">
        <f>'Gastos Municipales'!AB229</f>
        <v>2500</v>
      </c>
      <c r="E227" s="8">
        <f>'Gastos Municipales'!AC229</f>
        <v>996</v>
      </c>
      <c r="F227" s="8">
        <f>'Gastos Municipales'!AD229</f>
        <v>1504</v>
      </c>
    </row>
    <row r="228" spans="1:6" ht="16.5">
      <c r="A228" s="8" t="s">
        <v>351</v>
      </c>
      <c r="B228" s="8" t="s">
        <v>352</v>
      </c>
      <c r="C228" s="8">
        <f>'Gastos Municipales'!AA230</f>
        <v>15000</v>
      </c>
      <c r="D228" s="8">
        <f>'Gastos Municipales'!AB230</f>
        <v>15000</v>
      </c>
      <c r="E228" s="8">
        <f>'Gastos Municipales'!AC230</f>
        <v>4642</v>
      </c>
      <c r="F228" s="8">
        <f>'Gastos Municipales'!AD230</f>
        <v>10358</v>
      </c>
    </row>
    <row r="229" spans="1:6" ht="16.5">
      <c r="A229" s="8" t="s">
        <v>353</v>
      </c>
      <c r="B229" s="8" t="s">
        <v>354</v>
      </c>
      <c r="C229" s="8">
        <f>'Gastos Municipales'!AA231</f>
        <v>5500</v>
      </c>
      <c r="D229" s="8">
        <f>'Gastos Municipales'!AB231</f>
        <v>5500</v>
      </c>
      <c r="E229" s="8">
        <f>'Gastos Municipales'!AC231</f>
        <v>2284</v>
      </c>
      <c r="F229" s="8">
        <f>'Gastos Municipales'!AD231</f>
        <v>3216</v>
      </c>
    </row>
    <row r="230" spans="1:6" ht="16.5">
      <c r="A230" s="7" t="s">
        <v>355</v>
      </c>
      <c r="B230" s="7" t="s">
        <v>356</v>
      </c>
      <c r="C230" s="7">
        <f>'Gastos Municipales'!AA232</f>
        <v>146500</v>
      </c>
      <c r="D230" s="7">
        <f>'Gastos Municipales'!AB232</f>
        <v>146500</v>
      </c>
      <c r="E230" s="7">
        <f>'Gastos Municipales'!AC232</f>
        <v>39272</v>
      </c>
      <c r="F230" s="7">
        <f>'Gastos Municipales'!AD232</f>
        <v>107228</v>
      </c>
    </row>
    <row r="231" spans="1:6" ht="16.5">
      <c r="A231" s="8" t="s">
        <v>357</v>
      </c>
      <c r="B231" s="8" t="s">
        <v>358</v>
      </c>
      <c r="C231" s="8">
        <f>'Gastos Municipales'!AA233</f>
        <v>68000</v>
      </c>
      <c r="D231" s="8">
        <f>'Gastos Municipales'!AB233</f>
        <v>68000</v>
      </c>
      <c r="E231" s="8">
        <f>'Gastos Municipales'!AC233</f>
        <v>27090</v>
      </c>
      <c r="F231" s="8">
        <f>'Gastos Municipales'!AD233</f>
        <v>40910</v>
      </c>
    </row>
    <row r="232" spans="1:6" ht="16.5">
      <c r="A232" s="8" t="s">
        <v>359</v>
      </c>
      <c r="B232" s="8" t="s">
        <v>360</v>
      </c>
      <c r="C232" s="8">
        <f>'Gastos Municipales'!AA234</f>
        <v>78000</v>
      </c>
      <c r="D232" s="8">
        <f>'Gastos Municipales'!AB234</f>
        <v>78000</v>
      </c>
      <c r="E232" s="8">
        <f>'Gastos Municipales'!AC234</f>
        <v>12182</v>
      </c>
      <c r="F232" s="8">
        <f>'Gastos Municipales'!AD234</f>
        <v>65818</v>
      </c>
    </row>
    <row r="233" spans="1:6" ht="16.5">
      <c r="A233" s="8" t="s">
        <v>361</v>
      </c>
      <c r="B233" s="8" t="s">
        <v>362</v>
      </c>
      <c r="C233" s="8">
        <f>'Gastos Municipales'!AA235</f>
        <v>0</v>
      </c>
      <c r="D233" s="8">
        <f>'Gastos Municipales'!AB235</f>
        <v>0</v>
      </c>
      <c r="E233" s="8">
        <f>'Gastos Municipales'!AC235</f>
        <v>0</v>
      </c>
      <c r="F233" s="8">
        <f>'Gastos Municipales'!AD235</f>
        <v>0</v>
      </c>
    </row>
    <row r="234" spans="1:6" ht="16.5">
      <c r="A234" s="8" t="s">
        <v>363</v>
      </c>
      <c r="B234" s="8" t="s">
        <v>364</v>
      </c>
      <c r="C234" s="8">
        <f>'Gastos Municipales'!AA236</f>
        <v>500</v>
      </c>
      <c r="D234" s="8">
        <f>'Gastos Municipales'!AB236</f>
        <v>500</v>
      </c>
      <c r="E234" s="8">
        <f>'Gastos Municipales'!AC236</f>
        <v>0</v>
      </c>
      <c r="F234" s="8">
        <f>'Gastos Municipales'!AD236</f>
        <v>500</v>
      </c>
    </row>
    <row r="235" spans="1:6" ht="16.5">
      <c r="A235" s="7" t="s">
        <v>365</v>
      </c>
      <c r="B235" s="7" t="s">
        <v>366</v>
      </c>
      <c r="C235" s="7">
        <f>'Gastos Municipales'!AA237</f>
        <v>131100</v>
      </c>
      <c r="D235" s="7">
        <f>'Gastos Municipales'!AB237</f>
        <v>131100</v>
      </c>
      <c r="E235" s="7">
        <f>'Gastos Municipales'!AC237</f>
        <v>53617</v>
      </c>
      <c r="F235" s="7">
        <f>'Gastos Municipales'!AD237</f>
        <v>77483</v>
      </c>
    </row>
    <row r="236" spans="1:6" ht="16.5">
      <c r="A236" s="8" t="s">
        <v>367</v>
      </c>
      <c r="B236" s="8" t="s">
        <v>368</v>
      </c>
      <c r="C236" s="8">
        <f>'Gastos Municipales'!AA238</f>
        <v>7000</v>
      </c>
      <c r="D236" s="8">
        <f>'Gastos Municipales'!AB238</f>
        <v>7000</v>
      </c>
      <c r="E236" s="8">
        <f>'Gastos Municipales'!AC238</f>
        <v>1696</v>
      </c>
      <c r="F236" s="8">
        <f>'Gastos Municipales'!AD238</f>
        <v>5304</v>
      </c>
    </row>
    <row r="237" spans="1:6" ht="16.5">
      <c r="A237" s="8" t="s">
        <v>369</v>
      </c>
      <c r="B237" s="8" t="s">
        <v>370</v>
      </c>
      <c r="C237" s="8">
        <f>'Gastos Municipales'!AA239</f>
        <v>500</v>
      </c>
      <c r="D237" s="8">
        <f>'Gastos Municipales'!AB239</f>
        <v>500</v>
      </c>
      <c r="E237" s="8">
        <f>'Gastos Municipales'!AC239</f>
        <v>0</v>
      </c>
      <c r="F237" s="8">
        <f>'Gastos Municipales'!AD239</f>
        <v>500</v>
      </c>
    </row>
    <row r="238" spans="1:6" ht="16.5">
      <c r="A238" s="8" t="s">
        <v>371</v>
      </c>
      <c r="B238" s="8" t="s">
        <v>372</v>
      </c>
      <c r="C238" s="8">
        <f>'Gastos Municipales'!AA240</f>
        <v>12000</v>
      </c>
      <c r="D238" s="8">
        <f>'Gastos Municipales'!AB240</f>
        <v>12000</v>
      </c>
      <c r="E238" s="8">
        <f>'Gastos Municipales'!AC240</f>
        <v>4692</v>
      </c>
      <c r="F238" s="8">
        <f>'Gastos Municipales'!AD240</f>
        <v>7308</v>
      </c>
    </row>
    <row r="239" spans="1:6" ht="16.5">
      <c r="A239" s="8" t="s">
        <v>373</v>
      </c>
      <c r="B239" s="8" t="s">
        <v>374</v>
      </c>
      <c r="C239" s="8">
        <f>'Gastos Municipales'!AA241</f>
        <v>2500</v>
      </c>
      <c r="D239" s="8">
        <f>'Gastos Municipales'!AB241</f>
        <v>2500</v>
      </c>
      <c r="E239" s="8">
        <f>'Gastos Municipales'!AC241</f>
        <v>82</v>
      </c>
      <c r="F239" s="8">
        <f>'Gastos Municipales'!AD241</f>
        <v>2418</v>
      </c>
    </row>
    <row r="240" spans="1:6" ht="16.5">
      <c r="A240" s="8" t="s">
        <v>375</v>
      </c>
      <c r="B240" s="8" t="s">
        <v>376</v>
      </c>
      <c r="C240" s="8">
        <f>'Gastos Municipales'!AA242</f>
        <v>0</v>
      </c>
      <c r="D240" s="8">
        <f>'Gastos Municipales'!AB242</f>
        <v>0</v>
      </c>
      <c r="E240" s="8">
        <f>'Gastos Municipales'!AC242</f>
        <v>0</v>
      </c>
      <c r="F240" s="8">
        <f>'Gastos Municipales'!AD242</f>
        <v>0</v>
      </c>
    </row>
    <row r="241" spans="1:6" ht="16.5">
      <c r="A241" s="8" t="s">
        <v>377</v>
      </c>
      <c r="B241" s="8" t="s">
        <v>378</v>
      </c>
      <c r="C241" s="8">
        <f>'Gastos Municipales'!AA243</f>
        <v>600</v>
      </c>
      <c r="D241" s="8">
        <f>'Gastos Municipales'!AB243</f>
        <v>600</v>
      </c>
      <c r="E241" s="8">
        <f>'Gastos Municipales'!AC243</f>
        <v>0</v>
      </c>
      <c r="F241" s="8">
        <f>'Gastos Municipales'!AD243</f>
        <v>600</v>
      </c>
    </row>
    <row r="242" spans="1:6" ht="16.5">
      <c r="A242" s="8" t="s">
        <v>379</v>
      </c>
      <c r="B242" s="8" t="s">
        <v>380</v>
      </c>
      <c r="C242" s="8">
        <f>'Gastos Municipales'!AA244</f>
        <v>17000</v>
      </c>
      <c r="D242" s="8">
        <f>'Gastos Municipales'!AB244</f>
        <v>17000</v>
      </c>
      <c r="E242" s="8">
        <f>'Gastos Municipales'!AC244</f>
        <v>5657</v>
      </c>
      <c r="F242" s="8">
        <f>'Gastos Municipales'!AD244</f>
        <v>11343</v>
      </c>
    </row>
    <row r="243" spans="1:6" ht="16.5">
      <c r="A243" s="8" t="s">
        <v>381</v>
      </c>
      <c r="B243" s="8" t="s">
        <v>382</v>
      </c>
      <c r="C243" s="8">
        <f>'Gastos Municipales'!AA245</f>
        <v>1000</v>
      </c>
      <c r="D243" s="8">
        <f>'Gastos Municipales'!AB245</f>
        <v>1000</v>
      </c>
      <c r="E243" s="8">
        <f>'Gastos Municipales'!AC245</f>
        <v>0</v>
      </c>
      <c r="F243" s="8">
        <f>'Gastos Municipales'!AD245</f>
        <v>1000</v>
      </c>
    </row>
    <row r="244" spans="1:6" ht="16.5">
      <c r="A244" s="8" t="s">
        <v>383</v>
      </c>
      <c r="B244" s="8" t="s">
        <v>384</v>
      </c>
      <c r="C244" s="8">
        <f>'Gastos Municipales'!AA246</f>
        <v>9000</v>
      </c>
      <c r="D244" s="8">
        <f>'Gastos Municipales'!AB246</f>
        <v>9000</v>
      </c>
      <c r="E244" s="8">
        <f>'Gastos Municipales'!AC246</f>
        <v>1589</v>
      </c>
      <c r="F244" s="8">
        <f>'Gastos Municipales'!AD246</f>
        <v>7411</v>
      </c>
    </row>
    <row r="245" spans="1:6" ht="16.5">
      <c r="A245" s="8" t="s">
        <v>385</v>
      </c>
      <c r="B245" s="8" t="s">
        <v>386</v>
      </c>
      <c r="C245" s="8">
        <f>'Gastos Municipales'!AA247</f>
        <v>10000</v>
      </c>
      <c r="D245" s="8">
        <f>'Gastos Municipales'!AB247</f>
        <v>10000</v>
      </c>
      <c r="E245" s="8">
        <f>'Gastos Municipales'!AC247</f>
        <v>3580</v>
      </c>
      <c r="F245" s="8">
        <f>'Gastos Municipales'!AD247</f>
        <v>6420</v>
      </c>
    </row>
    <row r="246" spans="1:6" ht="16.5">
      <c r="A246" s="8" t="s">
        <v>387</v>
      </c>
      <c r="B246" s="8" t="s">
        <v>388</v>
      </c>
      <c r="C246" s="8">
        <f>'Gastos Municipales'!AA248</f>
        <v>12000</v>
      </c>
      <c r="D246" s="8">
        <f>'Gastos Municipales'!AB248</f>
        <v>12000</v>
      </c>
      <c r="E246" s="8">
        <f>'Gastos Municipales'!AC248</f>
        <v>7629</v>
      </c>
      <c r="F246" s="8">
        <f>'Gastos Municipales'!AD248</f>
        <v>4371</v>
      </c>
    </row>
    <row r="247" spans="1:6" ht="16.5">
      <c r="A247" s="8" t="s">
        <v>389</v>
      </c>
      <c r="B247" s="8" t="s">
        <v>390</v>
      </c>
      <c r="C247" s="8">
        <f>'Gastos Municipales'!AA249</f>
        <v>25000</v>
      </c>
      <c r="D247" s="8">
        <f>'Gastos Municipales'!AB249</f>
        <v>25000</v>
      </c>
      <c r="E247" s="8">
        <f>'Gastos Municipales'!AC249</f>
        <v>12166</v>
      </c>
      <c r="F247" s="8">
        <f>'Gastos Municipales'!AD249</f>
        <v>12834</v>
      </c>
    </row>
    <row r="248" spans="1:6" ht="16.5">
      <c r="A248" s="8" t="s">
        <v>391</v>
      </c>
      <c r="B248" s="8" t="s">
        <v>392</v>
      </c>
      <c r="C248" s="8">
        <f>'Gastos Municipales'!AA250</f>
        <v>500</v>
      </c>
      <c r="D248" s="8">
        <f>'Gastos Municipales'!AB250</f>
        <v>500</v>
      </c>
      <c r="E248" s="8">
        <f>'Gastos Municipales'!AC250</f>
        <v>0</v>
      </c>
      <c r="F248" s="8">
        <f>'Gastos Municipales'!AD250</f>
        <v>500</v>
      </c>
    </row>
    <row r="249" spans="1:6" ht="16.5">
      <c r="A249" s="8" t="s">
        <v>393</v>
      </c>
      <c r="B249" s="8" t="s">
        <v>394</v>
      </c>
      <c r="C249" s="8">
        <f>'Gastos Municipales'!AA251</f>
        <v>0</v>
      </c>
      <c r="D249" s="8">
        <f>'Gastos Municipales'!AB251</f>
        <v>0</v>
      </c>
      <c r="E249" s="8">
        <f>'Gastos Municipales'!AC251</f>
        <v>0</v>
      </c>
      <c r="F249" s="8">
        <f>'Gastos Municipales'!AD251</f>
        <v>0</v>
      </c>
    </row>
    <row r="250" spans="1:6" ht="16.5">
      <c r="A250" s="8" t="s">
        <v>395</v>
      </c>
      <c r="B250" s="8" t="s">
        <v>396</v>
      </c>
      <c r="C250" s="8">
        <f>'Gastos Municipales'!AA252</f>
        <v>0</v>
      </c>
      <c r="D250" s="8">
        <f>'Gastos Municipales'!AB252</f>
        <v>0</v>
      </c>
      <c r="E250" s="8">
        <f>'Gastos Municipales'!AC252</f>
        <v>0</v>
      </c>
      <c r="F250" s="8">
        <f>'Gastos Municipales'!AD252</f>
        <v>0</v>
      </c>
    </row>
    <row r="251" spans="1:6" ht="16.5">
      <c r="A251" s="8" t="s">
        <v>397</v>
      </c>
      <c r="B251" s="8" t="s">
        <v>398</v>
      </c>
      <c r="C251" s="8">
        <f>'Gastos Municipales'!AA253</f>
        <v>0</v>
      </c>
      <c r="D251" s="8">
        <f>'Gastos Municipales'!AB253</f>
        <v>0</v>
      </c>
      <c r="E251" s="8">
        <f>'Gastos Municipales'!AC253</f>
        <v>0</v>
      </c>
      <c r="F251" s="8">
        <f>'Gastos Municipales'!AD253</f>
        <v>0</v>
      </c>
    </row>
    <row r="252" spans="1:6" ht="16.5">
      <c r="A252" s="8" t="s">
        <v>399</v>
      </c>
      <c r="B252" s="8" t="s">
        <v>400</v>
      </c>
      <c r="C252" s="8">
        <f>'Gastos Municipales'!AA254</f>
        <v>34000</v>
      </c>
      <c r="D252" s="8">
        <f>'Gastos Municipales'!AB254</f>
        <v>34000</v>
      </c>
      <c r="E252" s="8">
        <f>'Gastos Municipales'!AC254</f>
        <v>16526</v>
      </c>
      <c r="F252" s="8">
        <f>'Gastos Municipales'!AD254</f>
        <v>17474</v>
      </c>
    </row>
    <row r="253" spans="1:6" ht="16.5">
      <c r="A253" s="7" t="s">
        <v>401</v>
      </c>
      <c r="B253" s="7" t="s">
        <v>402</v>
      </c>
      <c r="C253" s="7">
        <f>'Gastos Municipales'!AA255</f>
        <v>155100</v>
      </c>
      <c r="D253" s="7">
        <f>'Gastos Municipales'!AB255</f>
        <v>155100</v>
      </c>
      <c r="E253" s="7">
        <f>'Gastos Municipales'!AC255</f>
        <v>70844</v>
      </c>
      <c r="F253" s="7">
        <f>'Gastos Municipales'!AD255</f>
        <v>84256</v>
      </c>
    </row>
    <row r="254" spans="1:6" ht="16.5">
      <c r="A254" s="8" t="s">
        <v>403</v>
      </c>
      <c r="B254" s="8" t="s">
        <v>404</v>
      </c>
      <c r="C254" s="8">
        <f>'Gastos Municipales'!AA256</f>
        <v>18000</v>
      </c>
      <c r="D254" s="8">
        <f>'Gastos Municipales'!AB256</f>
        <v>18000</v>
      </c>
      <c r="E254" s="8">
        <f>'Gastos Municipales'!AC256</f>
        <v>4115</v>
      </c>
      <c r="F254" s="8">
        <f>'Gastos Municipales'!AD256</f>
        <v>13885</v>
      </c>
    </row>
    <row r="255" spans="1:6" ht="16.5">
      <c r="A255" s="8" t="s">
        <v>405</v>
      </c>
      <c r="B255" s="8" t="s">
        <v>406</v>
      </c>
      <c r="C255" s="8">
        <f>'Gastos Municipales'!AA257</f>
        <v>37500</v>
      </c>
      <c r="D255" s="8">
        <f>'Gastos Municipales'!AB257</f>
        <v>37500</v>
      </c>
      <c r="E255" s="8">
        <f>'Gastos Municipales'!AC257</f>
        <v>2460</v>
      </c>
      <c r="F255" s="8">
        <f>'Gastos Municipales'!AD257</f>
        <v>35040</v>
      </c>
    </row>
    <row r="256" spans="1:6" ht="16.5">
      <c r="A256" s="8" t="s">
        <v>407</v>
      </c>
      <c r="B256" s="8" t="s">
        <v>408</v>
      </c>
      <c r="C256" s="8">
        <f>'Gastos Municipales'!AA258</f>
        <v>500</v>
      </c>
      <c r="D256" s="8">
        <f>'Gastos Municipales'!AB258</f>
        <v>500</v>
      </c>
      <c r="E256" s="8">
        <f>'Gastos Municipales'!AC258</f>
        <v>129</v>
      </c>
      <c r="F256" s="8">
        <f>'Gastos Municipales'!AD258</f>
        <v>371</v>
      </c>
    </row>
    <row r="257" spans="1:6" ht="16.5">
      <c r="A257" s="8" t="s">
        <v>409</v>
      </c>
      <c r="B257" s="8" t="s">
        <v>410</v>
      </c>
      <c r="C257" s="8">
        <f>'Gastos Municipales'!AA259</f>
        <v>2000</v>
      </c>
      <c r="D257" s="8">
        <f>'Gastos Municipales'!AB259</f>
        <v>2000</v>
      </c>
      <c r="E257" s="8">
        <f>'Gastos Municipales'!AC259</f>
        <v>375</v>
      </c>
      <c r="F257" s="8">
        <f>'Gastos Municipales'!AD259</f>
        <v>1625</v>
      </c>
    </row>
    <row r="258" spans="1:6" ht="16.5">
      <c r="A258" s="8" t="s">
        <v>411</v>
      </c>
      <c r="B258" s="8" t="s">
        <v>412</v>
      </c>
      <c r="C258" s="8">
        <f>'Gastos Municipales'!AA260</f>
        <v>40800</v>
      </c>
      <c r="D258" s="8">
        <f>'Gastos Municipales'!AB260</f>
        <v>40800</v>
      </c>
      <c r="E258" s="8">
        <f>'Gastos Municipales'!AC260</f>
        <v>27559</v>
      </c>
      <c r="F258" s="8">
        <f>'Gastos Municipales'!AD260</f>
        <v>13241</v>
      </c>
    </row>
    <row r="259" spans="1:6" ht="16.5">
      <c r="A259" s="8" t="s">
        <v>413</v>
      </c>
      <c r="B259" s="8" t="s">
        <v>414</v>
      </c>
      <c r="C259" s="8">
        <f>'Gastos Municipales'!AA261</f>
        <v>15000</v>
      </c>
      <c r="D259" s="8">
        <f>'Gastos Municipales'!AB261</f>
        <v>15000</v>
      </c>
      <c r="E259" s="8">
        <f>'Gastos Municipales'!AC261</f>
        <v>3348</v>
      </c>
      <c r="F259" s="8">
        <f>'Gastos Municipales'!AD261</f>
        <v>11652</v>
      </c>
    </row>
    <row r="260" spans="1:6" ht="16.5">
      <c r="A260" s="8" t="s">
        <v>415</v>
      </c>
      <c r="B260" s="8" t="s">
        <v>416</v>
      </c>
      <c r="C260" s="8">
        <f>'Gastos Municipales'!AA262</f>
        <v>40800</v>
      </c>
      <c r="D260" s="8">
        <f>'Gastos Municipales'!AB262</f>
        <v>40800</v>
      </c>
      <c r="E260" s="8">
        <f>'Gastos Municipales'!AC262</f>
        <v>32858</v>
      </c>
      <c r="F260" s="8">
        <f>'Gastos Municipales'!AD262</f>
        <v>7942</v>
      </c>
    </row>
    <row r="261" spans="1:6" ht="16.5">
      <c r="A261" s="8" t="s">
        <v>417</v>
      </c>
      <c r="B261" s="8" t="s">
        <v>418</v>
      </c>
      <c r="C261" s="8">
        <f>'Gastos Municipales'!AA263</f>
        <v>0</v>
      </c>
      <c r="D261" s="8">
        <f>'Gastos Municipales'!AB263</f>
        <v>0</v>
      </c>
      <c r="E261" s="8">
        <f>'Gastos Municipales'!AC263</f>
        <v>0</v>
      </c>
      <c r="F261" s="8">
        <f>'Gastos Municipales'!AD263</f>
        <v>0</v>
      </c>
    </row>
    <row r="262" spans="1:6" ht="16.5">
      <c r="A262" s="8" t="s">
        <v>419</v>
      </c>
      <c r="B262" s="8" t="s">
        <v>400</v>
      </c>
      <c r="C262" s="8">
        <f>'Gastos Municipales'!AA264</f>
        <v>500</v>
      </c>
      <c r="D262" s="8">
        <f>'Gastos Municipales'!AB264</f>
        <v>500</v>
      </c>
      <c r="E262" s="8">
        <f>'Gastos Municipales'!AC264</f>
        <v>0</v>
      </c>
      <c r="F262" s="8">
        <f>'Gastos Municipales'!AD264</f>
        <v>500</v>
      </c>
    </row>
    <row r="263" spans="1:6" ht="16.5">
      <c r="A263" s="7" t="s">
        <v>420</v>
      </c>
      <c r="B263" s="7" t="s">
        <v>421</v>
      </c>
      <c r="C263" s="7">
        <f>'Gastos Municipales'!AA265</f>
        <v>65000</v>
      </c>
      <c r="D263" s="7">
        <f>'Gastos Municipales'!AB265</f>
        <v>65000</v>
      </c>
      <c r="E263" s="7">
        <f>'Gastos Municipales'!AC265</f>
        <v>5798</v>
      </c>
      <c r="F263" s="7">
        <f>'Gastos Municipales'!AD265</f>
        <v>59202</v>
      </c>
    </row>
    <row r="264" spans="1:6" ht="16.5">
      <c r="A264" s="8" t="s">
        <v>422</v>
      </c>
      <c r="B264" s="8" t="s">
        <v>423</v>
      </c>
      <c r="C264" s="8">
        <f>'Gastos Municipales'!AA266</f>
        <v>4000</v>
      </c>
      <c r="D264" s="8">
        <f>'Gastos Municipales'!AB266</f>
        <v>4000</v>
      </c>
      <c r="E264" s="8">
        <f>'Gastos Municipales'!AC266</f>
        <v>0</v>
      </c>
      <c r="F264" s="8">
        <f>'Gastos Municipales'!AD266</f>
        <v>4000</v>
      </c>
    </row>
    <row r="265" spans="1:6" ht="16.5">
      <c r="A265" s="8" t="s">
        <v>424</v>
      </c>
      <c r="B265" s="8" t="s">
        <v>425</v>
      </c>
      <c r="C265" s="8">
        <f>'Gastos Municipales'!AA267</f>
        <v>38000</v>
      </c>
      <c r="D265" s="8">
        <f>'Gastos Municipales'!AB267</f>
        <v>38000</v>
      </c>
      <c r="E265" s="8">
        <f>'Gastos Municipales'!AC267</f>
        <v>4063</v>
      </c>
      <c r="F265" s="8">
        <f>'Gastos Municipales'!AD267</f>
        <v>33937</v>
      </c>
    </row>
    <row r="266" spans="1:6" ht="16.5">
      <c r="A266" s="8" t="s">
        <v>426</v>
      </c>
      <c r="B266" s="8" t="s">
        <v>427</v>
      </c>
      <c r="C266" s="8">
        <f>'Gastos Municipales'!AA268</f>
        <v>500</v>
      </c>
      <c r="D266" s="8">
        <f>'Gastos Municipales'!AB268</f>
        <v>500</v>
      </c>
      <c r="E266" s="8">
        <f>'Gastos Municipales'!AC268</f>
        <v>0</v>
      </c>
      <c r="F266" s="8">
        <f>'Gastos Municipales'!AD268</f>
        <v>500</v>
      </c>
    </row>
    <row r="267" spans="1:6" ht="16.5">
      <c r="A267" s="8" t="s">
        <v>428</v>
      </c>
      <c r="B267" s="8" t="s">
        <v>429</v>
      </c>
      <c r="C267" s="8">
        <f>'Gastos Municipales'!AA269</f>
        <v>1000</v>
      </c>
      <c r="D267" s="8">
        <f>'Gastos Municipales'!AB269</f>
        <v>1000</v>
      </c>
      <c r="E267" s="8">
        <f>'Gastos Municipales'!AC269</f>
        <v>0</v>
      </c>
      <c r="F267" s="8">
        <f>'Gastos Municipales'!AD269</f>
        <v>1000</v>
      </c>
    </row>
    <row r="268" spans="1:6" ht="16.5">
      <c r="A268" s="8" t="s">
        <v>430</v>
      </c>
      <c r="B268" s="8" t="s">
        <v>431</v>
      </c>
      <c r="C268" s="8">
        <f>'Gastos Municipales'!AA270</f>
        <v>17000</v>
      </c>
      <c r="D268" s="8">
        <f>'Gastos Municipales'!AB270</f>
        <v>17000</v>
      </c>
      <c r="E268" s="8">
        <f>'Gastos Municipales'!AC270</f>
        <v>886</v>
      </c>
      <c r="F268" s="8">
        <f>'Gastos Municipales'!AD270</f>
        <v>16114</v>
      </c>
    </row>
    <row r="269" spans="1:6" ht="16.5">
      <c r="A269" s="8" t="s">
        <v>432</v>
      </c>
      <c r="B269" s="8" t="s">
        <v>433</v>
      </c>
      <c r="C269" s="8">
        <f>'Gastos Municipales'!AA271</f>
        <v>2500</v>
      </c>
      <c r="D269" s="8">
        <f>'Gastos Municipales'!AB271</f>
        <v>2500</v>
      </c>
      <c r="E269" s="8">
        <f>'Gastos Municipales'!AC271</f>
        <v>849</v>
      </c>
      <c r="F269" s="8">
        <f>'Gastos Municipales'!AD271</f>
        <v>1651</v>
      </c>
    </row>
    <row r="270" spans="1:6" ht="16.5">
      <c r="A270" s="8" t="s">
        <v>434</v>
      </c>
      <c r="B270" s="8" t="s">
        <v>435</v>
      </c>
      <c r="C270" s="8">
        <f>'Gastos Municipales'!AA272</f>
        <v>1000</v>
      </c>
      <c r="D270" s="8">
        <f>'Gastos Municipales'!AB272</f>
        <v>1000</v>
      </c>
      <c r="E270" s="8">
        <f>'Gastos Municipales'!AC272</f>
        <v>0</v>
      </c>
      <c r="F270" s="8">
        <f>'Gastos Municipales'!AD272</f>
        <v>1000</v>
      </c>
    </row>
    <row r="271" spans="1:6" ht="16.5">
      <c r="A271" s="8" t="s">
        <v>436</v>
      </c>
      <c r="B271" s="8" t="s">
        <v>400</v>
      </c>
      <c r="C271" s="8">
        <f>'Gastos Municipales'!AA273</f>
        <v>1000</v>
      </c>
      <c r="D271" s="8">
        <f>'Gastos Municipales'!AB273</f>
        <v>1000</v>
      </c>
      <c r="E271" s="8">
        <f>'Gastos Municipales'!AC273</f>
        <v>0</v>
      </c>
      <c r="F271" s="8">
        <f>'Gastos Municipales'!AD273</f>
        <v>1000</v>
      </c>
    </row>
    <row r="272" spans="1:6" ht="16.5">
      <c r="A272" s="7" t="s">
        <v>437</v>
      </c>
      <c r="B272" s="7" t="s">
        <v>438</v>
      </c>
      <c r="C272" s="7">
        <f>'Gastos Municipales'!AA274</f>
        <v>20000</v>
      </c>
      <c r="D272" s="7">
        <f>'Gastos Municipales'!AB274</f>
        <v>20000</v>
      </c>
      <c r="E272" s="7">
        <f>'Gastos Municipales'!AC274</f>
        <v>26875</v>
      </c>
      <c r="F272" s="7">
        <f>'Gastos Municipales'!AD274</f>
        <v>-6875</v>
      </c>
    </row>
    <row r="273" spans="1:6" ht="16.5">
      <c r="A273" s="8" t="s">
        <v>439</v>
      </c>
      <c r="B273" s="8" t="s">
        <v>440</v>
      </c>
      <c r="C273" s="8">
        <f>'Gastos Municipales'!AA275</f>
        <v>10500</v>
      </c>
      <c r="D273" s="8">
        <f>'Gastos Municipales'!AB275</f>
        <v>10500</v>
      </c>
      <c r="E273" s="8">
        <f>'Gastos Municipales'!AC275</f>
        <v>3663</v>
      </c>
      <c r="F273" s="8">
        <f>'Gastos Municipales'!AD275</f>
        <v>6837</v>
      </c>
    </row>
    <row r="274" spans="1:6" ht="16.5">
      <c r="A274" s="8" t="s">
        <v>441</v>
      </c>
      <c r="B274" s="8" t="s">
        <v>442</v>
      </c>
      <c r="C274" s="8">
        <f>'Gastos Municipales'!AA276</f>
        <v>7000</v>
      </c>
      <c r="D274" s="8">
        <f>'Gastos Municipales'!AB276</f>
        <v>7000</v>
      </c>
      <c r="E274" s="8">
        <f>'Gastos Municipales'!AC276</f>
        <v>3658</v>
      </c>
      <c r="F274" s="8">
        <f>'Gastos Municipales'!AD276</f>
        <v>3342</v>
      </c>
    </row>
    <row r="275" spans="1:6" ht="16.5">
      <c r="A275" s="8" t="s">
        <v>443</v>
      </c>
      <c r="B275" s="8" t="s">
        <v>444</v>
      </c>
      <c r="C275" s="8">
        <f>'Gastos Municipales'!AA277</f>
        <v>500</v>
      </c>
      <c r="D275" s="8">
        <f>'Gastos Municipales'!AB277</f>
        <v>500</v>
      </c>
      <c r="E275" s="8">
        <f>'Gastos Municipales'!AC277</f>
        <v>0</v>
      </c>
      <c r="F275" s="8">
        <f>'Gastos Municipales'!AD277</f>
        <v>500</v>
      </c>
    </row>
    <row r="276" spans="1:6" ht="16.5">
      <c r="A276" s="8" t="s">
        <v>445</v>
      </c>
      <c r="B276" s="8" t="s">
        <v>400</v>
      </c>
      <c r="C276" s="8">
        <f>'Gastos Municipales'!AA278</f>
        <v>2000</v>
      </c>
      <c r="D276" s="8">
        <f>'Gastos Municipales'!AB278</f>
        <v>2000</v>
      </c>
      <c r="E276" s="8">
        <f>'Gastos Municipales'!AC278</f>
        <v>19554</v>
      </c>
      <c r="F276" s="8">
        <f>'Gastos Municipales'!AD278</f>
        <v>-17554</v>
      </c>
    </row>
    <row r="277" spans="1:6" ht="16.5">
      <c r="A277" s="7" t="s">
        <v>446</v>
      </c>
      <c r="B277" s="7" t="s">
        <v>447</v>
      </c>
      <c r="C277" s="7">
        <f>'Gastos Municipales'!AA279</f>
        <v>231000</v>
      </c>
      <c r="D277" s="7">
        <f>'Gastos Municipales'!AB279</f>
        <v>231000</v>
      </c>
      <c r="E277" s="7">
        <f>'Gastos Municipales'!AC279</f>
        <v>147785</v>
      </c>
      <c r="F277" s="7">
        <f>'Gastos Municipales'!AD279</f>
        <v>83215</v>
      </c>
    </row>
    <row r="278" spans="1:6" ht="16.5">
      <c r="A278" s="8" t="s">
        <v>448</v>
      </c>
      <c r="B278" s="8" t="s">
        <v>449</v>
      </c>
      <c r="C278" s="8">
        <f>'Gastos Municipales'!AA280</f>
        <v>30000</v>
      </c>
      <c r="D278" s="8">
        <f>'Gastos Municipales'!AB280</f>
        <v>30000</v>
      </c>
      <c r="E278" s="8">
        <f>'Gastos Municipales'!AC280</f>
        <v>5482</v>
      </c>
      <c r="F278" s="8">
        <f>'Gastos Municipales'!AD280</f>
        <v>24518</v>
      </c>
    </row>
    <row r="279" spans="1:6" ht="16.5">
      <c r="A279" s="8" t="s">
        <v>450</v>
      </c>
      <c r="B279" s="8" t="s">
        <v>451</v>
      </c>
      <c r="C279" s="8">
        <f>'Gastos Municipales'!AA281</f>
        <v>2000</v>
      </c>
      <c r="D279" s="8">
        <f>'Gastos Municipales'!AB281</f>
        <v>2000</v>
      </c>
      <c r="E279" s="8">
        <f>'Gastos Municipales'!AC281</f>
        <v>0</v>
      </c>
      <c r="F279" s="8">
        <f>'Gastos Municipales'!AD281</f>
        <v>2000</v>
      </c>
    </row>
    <row r="280" spans="1:6" ht="16.5">
      <c r="A280" s="8" t="s">
        <v>452</v>
      </c>
      <c r="B280" s="8" t="s">
        <v>453</v>
      </c>
      <c r="C280" s="8">
        <f>'Gastos Municipales'!AA282</f>
        <v>72000</v>
      </c>
      <c r="D280" s="8">
        <f>'Gastos Municipales'!AB282</f>
        <v>72000</v>
      </c>
      <c r="E280" s="8">
        <f>'Gastos Municipales'!AC282</f>
        <v>35306</v>
      </c>
      <c r="F280" s="8">
        <f>'Gastos Municipales'!AD282</f>
        <v>36694</v>
      </c>
    </row>
    <row r="281" spans="1:6" ht="16.5">
      <c r="A281" s="8" t="s">
        <v>454</v>
      </c>
      <c r="B281" s="8" t="s">
        <v>455</v>
      </c>
      <c r="C281" s="8">
        <f>'Gastos Municipales'!AA283</f>
        <v>15000</v>
      </c>
      <c r="D281" s="8">
        <f>'Gastos Municipales'!AB283</f>
        <v>15000</v>
      </c>
      <c r="E281" s="8">
        <f>'Gastos Municipales'!AC283</f>
        <v>4019</v>
      </c>
      <c r="F281" s="8">
        <f>'Gastos Municipales'!AD283</f>
        <v>10981</v>
      </c>
    </row>
    <row r="282" spans="1:6" ht="16.5">
      <c r="A282" s="8" t="s">
        <v>456</v>
      </c>
      <c r="B282" s="8" t="s">
        <v>457</v>
      </c>
      <c r="C282" s="8">
        <f>'Gastos Municipales'!AA284</f>
        <v>0</v>
      </c>
      <c r="D282" s="8">
        <f>'Gastos Municipales'!AB284</f>
        <v>0</v>
      </c>
      <c r="E282" s="8">
        <f>'Gastos Municipales'!AC284</f>
        <v>0</v>
      </c>
      <c r="F282" s="8">
        <f>'Gastos Municipales'!AD284</f>
        <v>0</v>
      </c>
    </row>
    <row r="283" spans="1:6" ht="16.5">
      <c r="A283" s="8" t="s">
        <v>458</v>
      </c>
      <c r="B283" s="8" t="s">
        <v>459</v>
      </c>
      <c r="C283" s="8">
        <f>'Gastos Municipales'!AA285</f>
        <v>0</v>
      </c>
      <c r="D283" s="8">
        <f>'Gastos Municipales'!AB285</f>
        <v>0</v>
      </c>
      <c r="E283" s="8">
        <f>'Gastos Municipales'!AC285</f>
        <v>0</v>
      </c>
      <c r="F283" s="8">
        <f>'Gastos Municipales'!AD285</f>
        <v>0</v>
      </c>
    </row>
    <row r="284" spans="1:6" ht="16.5">
      <c r="A284" s="8" t="s">
        <v>460</v>
      </c>
      <c r="B284" s="8" t="s">
        <v>461</v>
      </c>
      <c r="C284" s="8">
        <f>'Gastos Municipales'!AA286</f>
        <v>20000</v>
      </c>
      <c r="D284" s="8">
        <f>'Gastos Municipales'!AB286</f>
        <v>20000</v>
      </c>
      <c r="E284" s="8">
        <f>'Gastos Municipales'!AC286</f>
        <v>4228</v>
      </c>
      <c r="F284" s="8">
        <f>'Gastos Municipales'!AD286</f>
        <v>15772</v>
      </c>
    </row>
    <row r="285" spans="1:6" ht="16.5">
      <c r="A285" s="8" t="s">
        <v>462</v>
      </c>
      <c r="B285" s="8" t="s">
        <v>463</v>
      </c>
      <c r="C285" s="8">
        <f>'Gastos Municipales'!AA287</f>
        <v>0</v>
      </c>
      <c r="D285" s="8">
        <f>'Gastos Municipales'!AB287</f>
        <v>0</v>
      </c>
      <c r="E285" s="8">
        <f>'Gastos Municipales'!AC287</f>
        <v>0</v>
      </c>
      <c r="F285" s="8">
        <f>'Gastos Municipales'!AD287</f>
        <v>0</v>
      </c>
    </row>
    <row r="286" spans="1:6" ht="16.5">
      <c r="A286" s="8" t="s">
        <v>464</v>
      </c>
      <c r="B286" s="8" t="s">
        <v>465</v>
      </c>
      <c r="C286" s="8">
        <f>'Gastos Municipales'!AA288</f>
        <v>0</v>
      </c>
      <c r="D286" s="8">
        <f>'Gastos Municipales'!AB288</f>
        <v>0</v>
      </c>
      <c r="E286" s="8">
        <f>'Gastos Municipales'!AC288</f>
        <v>0</v>
      </c>
      <c r="F286" s="8">
        <f>'Gastos Municipales'!AD288</f>
        <v>0</v>
      </c>
    </row>
    <row r="287" spans="1:6" ht="16.5">
      <c r="A287" s="8" t="s">
        <v>466</v>
      </c>
      <c r="B287" s="8" t="s">
        <v>467</v>
      </c>
      <c r="C287" s="8">
        <f>'Gastos Municipales'!AA289</f>
        <v>2000</v>
      </c>
      <c r="D287" s="8">
        <f>'Gastos Municipales'!AB289</f>
        <v>2000</v>
      </c>
      <c r="E287" s="8">
        <f>'Gastos Municipales'!AC289</f>
        <v>1232</v>
      </c>
      <c r="F287" s="8">
        <f>'Gastos Municipales'!AD289</f>
        <v>768</v>
      </c>
    </row>
    <row r="288" spans="1:6" ht="16.5">
      <c r="A288" s="8" t="s">
        <v>468</v>
      </c>
      <c r="B288" s="8" t="s">
        <v>469</v>
      </c>
      <c r="C288" s="8">
        <f>'Gastos Municipales'!AA290</f>
        <v>90000</v>
      </c>
      <c r="D288" s="8">
        <f>'Gastos Municipales'!AB290</f>
        <v>90000</v>
      </c>
      <c r="E288" s="8">
        <f>'Gastos Municipales'!AC290</f>
        <v>96511</v>
      </c>
      <c r="F288" s="8">
        <f>'Gastos Municipales'!AD290</f>
        <v>-6511</v>
      </c>
    </row>
    <row r="289" spans="1:6" ht="16.5">
      <c r="A289" s="8" t="s">
        <v>470</v>
      </c>
      <c r="B289" s="8" t="s">
        <v>400</v>
      </c>
      <c r="C289" s="8">
        <f>'Gastos Municipales'!AA291</f>
        <v>0</v>
      </c>
      <c r="D289" s="8">
        <f>'Gastos Municipales'!AB291</f>
        <v>0</v>
      </c>
      <c r="E289" s="8">
        <f>'Gastos Municipales'!AC291</f>
        <v>1007</v>
      </c>
      <c r="F289" s="8">
        <f>'Gastos Municipales'!AD291</f>
        <v>-1007</v>
      </c>
    </row>
    <row r="290" spans="1:6" ht="16.5">
      <c r="A290" s="7" t="s">
        <v>471</v>
      </c>
      <c r="B290" s="7" t="s">
        <v>472</v>
      </c>
      <c r="C290" s="7">
        <f>'Gastos Municipales'!AA292</f>
        <v>23000</v>
      </c>
      <c r="D290" s="7">
        <f>'Gastos Municipales'!AB292</f>
        <v>23000</v>
      </c>
      <c r="E290" s="7">
        <f>'Gastos Municipales'!AC292</f>
        <v>18120</v>
      </c>
      <c r="F290" s="7">
        <f>'Gastos Municipales'!AD292</f>
        <v>4880</v>
      </c>
    </row>
    <row r="291" spans="1:6" ht="16.5">
      <c r="A291" s="8" t="s">
        <v>473</v>
      </c>
      <c r="B291" s="8" t="s">
        <v>474</v>
      </c>
      <c r="C291" s="8">
        <f>'Gastos Municipales'!AA293</f>
        <v>5000</v>
      </c>
      <c r="D291" s="8">
        <f>'Gastos Municipales'!AB293</f>
        <v>5000</v>
      </c>
      <c r="E291" s="8">
        <f>'Gastos Municipales'!AC293</f>
        <v>0</v>
      </c>
      <c r="F291" s="8">
        <f>'Gastos Municipales'!AD293</f>
        <v>5000</v>
      </c>
    </row>
    <row r="292" spans="1:6" ht="16.5">
      <c r="A292" s="8" t="s">
        <v>475</v>
      </c>
      <c r="B292" s="8" t="s">
        <v>476</v>
      </c>
      <c r="C292" s="8">
        <f>'Gastos Municipales'!AA294</f>
        <v>0</v>
      </c>
      <c r="D292" s="8">
        <f>'Gastos Municipales'!AB294</f>
        <v>0</v>
      </c>
      <c r="E292" s="8">
        <f>'Gastos Municipales'!AC294</f>
        <v>0</v>
      </c>
      <c r="F292" s="8">
        <f>'Gastos Municipales'!AD294</f>
        <v>0</v>
      </c>
    </row>
    <row r="293" spans="1:6" ht="16.5">
      <c r="A293" s="8" t="s">
        <v>477</v>
      </c>
      <c r="B293" s="8" t="s">
        <v>478</v>
      </c>
      <c r="C293" s="8">
        <f>'Gastos Municipales'!AA295</f>
        <v>0</v>
      </c>
      <c r="D293" s="8">
        <f>'Gastos Municipales'!AB295</f>
        <v>0</v>
      </c>
      <c r="E293" s="8">
        <f>'Gastos Municipales'!AC295</f>
        <v>17600</v>
      </c>
      <c r="F293" s="8">
        <f>'Gastos Municipales'!AD295</f>
        <v>-17600</v>
      </c>
    </row>
    <row r="294" spans="1:6" ht="16.5">
      <c r="A294" s="8" t="s">
        <v>479</v>
      </c>
      <c r="B294" s="8" t="s">
        <v>480</v>
      </c>
      <c r="C294" s="8">
        <f>'Gastos Municipales'!AA296</f>
        <v>0</v>
      </c>
      <c r="D294" s="8">
        <f>'Gastos Municipales'!AB296</f>
        <v>0</v>
      </c>
      <c r="E294" s="8">
        <f>'Gastos Municipales'!AC296</f>
        <v>0</v>
      </c>
      <c r="F294" s="8">
        <f>'Gastos Municipales'!AD296</f>
        <v>0</v>
      </c>
    </row>
    <row r="295" spans="1:6" ht="16.5">
      <c r="A295" s="8" t="s">
        <v>481</v>
      </c>
      <c r="B295" s="8" t="s">
        <v>482</v>
      </c>
      <c r="C295" s="8">
        <f>'Gastos Municipales'!AA297</f>
        <v>12000</v>
      </c>
      <c r="D295" s="8">
        <f>'Gastos Municipales'!AB297</f>
        <v>12000</v>
      </c>
      <c r="E295" s="8">
        <f>'Gastos Municipales'!AC297</f>
        <v>271</v>
      </c>
      <c r="F295" s="8">
        <f>'Gastos Municipales'!AD297</f>
        <v>11729</v>
      </c>
    </row>
    <row r="296" spans="1:6" ht="16.5">
      <c r="A296" s="8" t="s">
        <v>483</v>
      </c>
      <c r="B296" s="8" t="s">
        <v>484</v>
      </c>
      <c r="C296" s="8">
        <f>'Gastos Municipales'!AA298</f>
        <v>0</v>
      </c>
      <c r="D296" s="8">
        <f>'Gastos Municipales'!AB298</f>
        <v>0</v>
      </c>
      <c r="E296" s="8">
        <f>'Gastos Municipales'!AC298</f>
        <v>0</v>
      </c>
      <c r="F296" s="8">
        <f>'Gastos Municipales'!AD298</f>
        <v>0</v>
      </c>
    </row>
    <row r="297" spans="1:6" ht="16.5">
      <c r="A297" s="8" t="s">
        <v>485</v>
      </c>
      <c r="B297" s="8" t="s">
        <v>400</v>
      </c>
      <c r="C297" s="8">
        <f>'Gastos Municipales'!AA299</f>
        <v>6000</v>
      </c>
      <c r="D297" s="8">
        <f>'Gastos Municipales'!AB299</f>
        <v>6000</v>
      </c>
      <c r="E297" s="8">
        <f>'Gastos Municipales'!AC299</f>
        <v>249</v>
      </c>
      <c r="F297" s="8">
        <f>'Gastos Municipales'!AD299</f>
        <v>5751</v>
      </c>
    </row>
    <row r="298" spans="1:6" ht="16.5">
      <c r="A298" s="7" t="s">
        <v>486</v>
      </c>
      <c r="B298" s="7" t="s">
        <v>487</v>
      </c>
      <c r="C298" s="7">
        <f>'Gastos Municipales'!AA300</f>
        <v>45000</v>
      </c>
      <c r="D298" s="7">
        <f>'Gastos Municipales'!AB300</f>
        <v>45000</v>
      </c>
      <c r="E298" s="7">
        <f>'Gastos Municipales'!AC300</f>
        <v>37622</v>
      </c>
      <c r="F298" s="7">
        <f>'Gastos Municipales'!AD300</f>
        <v>7378</v>
      </c>
    </row>
    <row r="299" spans="1:6" ht="16.5">
      <c r="A299" s="8" t="s">
        <v>488</v>
      </c>
      <c r="B299" s="8" t="s">
        <v>489</v>
      </c>
      <c r="C299" s="8">
        <f>'Gastos Municipales'!AA301</f>
        <v>0</v>
      </c>
      <c r="D299" s="8">
        <f>'Gastos Municipales'!AB301</f>
        <v>0</v>
      </c>
      <c r="E299" s="8">
        <f>'Gastos Municipales'!AC301</f>
        <v>0</v>
      </c>
      <c r="F299" s="8">
        <f>'Gastos Municipales'!AD301</f>
        <v>0</v>
      </c>
    </row>
    <row r="300" spans="1:6" ht="16.5">
      <c r="A300" s="8" t="s">
        <v>490</v>
      </c>
      <c r="B300" s="8" t="s">
        <v>491</v>
      </c>
      <c r="C300" s="8">
        <f>'Gastos Municipales'!AA302</f>
        <v>45000</v>
      </c>
      <c r="D300" s="8">
        <f>'Gastos Municipales'!AB302</f>
        <v>45000</v>
      </c>
      <c r="E300" s="8">
        <f>'Gastos Municipales'!AC302</f>
        <v>37622</v>
      </c>
      <c r="F300" s="8">
        <f>'Gastos Municipales'!AD302</f>
        <v>7378</v>
      </c>
    </row>
    <row r="301" spans="1:6" ht="16.5">
      <c r="A301" s="8" t="s">
        <v>492</v>
      </c>
      <c r="B301" s="8" t="s">
        <v>493</v>
      </c>
      <c r="C301" s="8">
        <f>'Gastos Municipales'!AA303</f>
        <v>0</v>
      </c>
      <c r="D301" s="8">
        <f>'Gastos Municipales'!AB303</f>
        <v>0</v>
      </c>
      <c r="E301" s="8">
        <f>'Gastos Municipales'!AC303</f>
        <v>0</v>
      </c>
      <c r="F301" s="8">
        <f>'Gastos Municipales'!AD303</f>
        <v>0</v>
      </c>
    </row>
    <row r="302" spans="1:6" ht="16.5">
      <c r="A302" s="8" t="s">
        <v>494</v>
      </c>
      <c r="B302" s="8" t="s">
        <v>495</v>
      </c>
      <c r="C302" s="8">
        <f>'Gastos Municipales'!AA304</f>
        <v>0</v>
      </c>
      <c r="D302" s="8">
        <f>'Gastos Municipales'!AB304</f>
        <v>0</v>
      </c>
      <c r="E302" s="8">
        <f>'Gastos Municipales'!AC304</f>
        <v>0</v>
      </c>
      <c r="F302" s="8">
        <f>'Gastos Municipales'!AD304</f>
        <v>0</v>
      </c>
    </row>
    <row r="303" spans="1:6" ht="16.5">
      <c r="A303" s="8" t="s">
        <v>496</v>
      </c>
      <c r="B303" s="8" t="s">
        <v>400</v>
      </c>
      <c r="C303" s="8">
        <f>'Gastos Municipales'!AA305</f>
        <v>0</v>
      </c>
      <c r="D303" s="8">
        <f>'Gastos Municipales'!AB305</f>
        <v>0</v>
      </c>
      <c r="E303" s="8">
        <f>'Gastos Municipales'!AC305</f>
        <v>0</v>
      </c>
      <c r="F303" s="8">
        <f>'Gastos Municipales'!AD305</f>
        <v>0</v>
      </c>
    </row>
    <row r="304" spans="1:6" ht="16.5">
      <c r="A304" s="7" t="s">
        <v>497</v>
      </c>
      <c r="B304" s="7" t="s">
        <v>498</v>
      </c>
      <c r="C304" s="7">
        <f>'Gastos Municipales'!AA306</f>
        <v>20100</v>
      </c>
      <c r="D304" s="7">
        <f>'Gastos Municipales'!AB306</f>
        <v>20100</v>
      </c>
      <c r="E304" s="7">
        <f>'Gastos Municipales'!AC306</f>
        <v>16728</v>
      </c>
      <c r="F304" s="7">
        <f>'Gastos Municipales'!AD306</f>
        <v>3372</v>
      </c>
    </row>
    <row r="305" spans="1:6" ht="16.5">
      <c r="A305" s="8" t="s">
        <v>499</v>
      </c>
      <c r="B305" s="8" t="s">
        <v>500</v>
      </c>
      <c r="C305" s="8">
        <f>'Gastos Municipales'!AA307</f>
        <v>0</v>
      </c>
      <c r="D305" s="8">
        <f>'Gastos Municipales'!AB307</f>
        <v>0</v>
      </c>
      <c r="E305" s="8">
        <f>'Gastos Municipales'!AC307</f>
        <v>0</v>
      </c>
      <c r="F305" s="8">
        <f>'Gastos Municipales'!AD307</f>
        <v>0</v>
      </c>
    </row>
    <row r="306" spans="1:6" ht="16.5">
      <c r="A306" s="8" t="s">
        <v>501</v>
      </c>
      <c r="B306" s="8" t="s">
        <v>502</v>
      </c>
      <c r="C306" s="8">
        <f>'Gastos Municipales'!AA308</f>
        <v>13600</v>
      </c>
      <c r="D306" s="8">
        <f>'Gastos Municipales'!AB308</f>
        <v>13600</v>
      </c>
      <c r="E306" s="8">
        <f>'Gastos Municipales'!AC308</f>
        <v>590</v>
      </c>
      <c r="F306" s="8">
        <f>'Gastos Municipales'!AD308</f>
        <v>13010</v>
      </c>
    </row>
    <row r="307" spans="1:6" ht="16.5">
      <c r="A307" s="8" t="s">
        <v>503</v>
      </c>
      <c r="B307" s="8" t="s">
        <v>504</v>
      </c>
      <c r="C307" s="8">
        <f>'Gastos Municipales'!AA309</f>
        <v>5500</v>
      </c>
      <c r="D307" s="8">
        <f>'Gastos Municipales'!AB309</f>
        <v>5500</v>
      </c>
      <c r="E307" s="8">
        <f>'Gastos Municipales'!AC309</f>
        <v>16138</v>
      </c>
      <c r="F307" s="8">
        <f>'Gastos Municipales'!AD309</f>
        <v>-10638</v>
      </c>
    </row>
    <row r="308" spans="1:6" ht="16.5">
      <c r="A308" s="8" t="s">
        <v>505</v>
      </c>
      <c r="B308" s="8" t="s">
        <v>400</v>
      </c>
      <c r="C308" s="8">
        <f>'Gastos Municipales'!AA310</f>
        <v>1000</v>
      </c>
      <c r="D308" s="8">
        <f>'Gastos Municipales'!AB310</f>
        <v>1000</v>
      </c>
      <c r="E308" s="8">
        <f>'Gastos Municipales'!AC310</f>
        <v>0</v>
      </c>
      <c r="F308" s="8">
        <f>'Gastos Municipales'!AD310</f>
        <v>1000</v>
      </c>
    </row>
    <row r="309" spans="1:6" ht="16.5">
      <c r="A309" s="7" t="s">
        <v>506</v>
      </c>
      <c r="B309" s="7" t="s">
        <v>507</v>
      </c>
      <c r="C309" s="7">
        <f>'Gastos Municipales'!AA311</f>
        <v>7500</v>
      </c>
      <c r="D309" s="7">
        <f>'Gastos Municipales'!AB311</f>
        <v>7500</v>
      </c>
      <c r="E309" s="7">
        <f>'Gastos Municipales'!AC311</f>
        <v>653</v>
      </c>
      <c r="F309" s="7">
        <f>'Gastos Municipales'!AD311</f>
        <v>6847</v>
      </c>
    </row>
    <row r="310" spans="1:6" ht="16.5">
      <c r="A310" s="8" t="s">
        <v>508</v>
      </c>
      <c r="B310" s="8" t="s">
        <v>509</v>
      </c>
      <c r="C310" s="8">
        <f>'Gastos Municipales'!AA312</f>
        <v>0</v>
      </c>
      <c r="D310" s="8">
        <f>'Gastos Municipales'!AB312</f>
        <v>0</v>
      </c>
      <c r="E310" s="8">
        <f>'Gastos Municipales'!AC312</f>
        <v>0</v>
      </c>
      <c r="F310" s="8">
        <f>'Gastos Municipales'!AD312</f>
        <v>0</v>
      </c>
    </row>
    <row r="311" spans="1:6" ht="16.5">
      <c r="A311" s="8" t="s">
        <v>510</v>
      </c>
      <c r="B311" s="8" t="s">
        <v>511</v>
      </c>
      <c r="C311" s="8">
        <f>'Gastos Municipales'!AA313</f>
        <v>500</v>
      </c>
      <c r="D311" s="8">
        <f>'Gastos Municipales'!AB313</f>
        <v>500</v>
      </c>
      <c r="E311" s="8">
        <f>'Gastos Municipales'!AC313</f>
        <v>240</v>
      </c>
      <c r="F311" s="8">
        <f>'Gastos Municipales'!AD313</f>
        <v>260</v>
      </c>
    </row>
    <row r="312" spans="1:6" ht="16.5">
      <c r="A312" s="8" t="s">
        <v>512</v>
      </c>
      <c r="B312" s="8" t="s">
        <v>513</v>
      </c>
      <c r="C312" s="8">
        <f>'Gastos Municipales'!AA314</f>
        <v>2500</v>
      </c>
      <c r="D312" s="8">
        <f>'Gastos Municipales'!AB314</f>
        <v>2500</v>
      </c>
      <c r="E312" s="8">
        <f>'Gastos Municipales'!AC314</f>
        <v>317</v>
      </c>
      <c r="F312" s="8">
        <f>'Gastos Municipales'!AD314</f>
        <v>2183</v>
      </c>
    </row>
    <row r="313" spans="1:6" ht="16.5">
      <c r="A313" s="8" t="s">
        <v>514</v>
      </c>
      <c r="B313" s="8" t="s">
        <v>515</v>
      </c>
      <c r="C313" s="8">
        <f>'Gastos Municipales'!AA315</f>
        <v>0</v>
      </c>
      <c r="D313" s="8">
        <f>'Gastos Municipales'!AB315</f>
        <v>0</v>
      </c>
      <c r="E313" s="8">
        <f>'Gastos Municipales'!AC315</f>
        <v>96</v>
      </c>
      <c r="F313" s="8">
        <f>'Gastos Municipales'!AD315</f>
        <v>-96</v>
      </c>
    </row>
    <row r="314" spans="1:6" ht="16.5">
      <c r="A314" s="8" t="s">
        <v>516</v>
      </c>
      <c r="B314" s="8" t="s">
        <v>517</v>
      </c>
      <c r="C314" s="8">
        <f>'Gastos Municipales'!AA316</f>
        <v>1000</v>
      </c>
      <c r="D314" s="8">
        <f>'Gastos Municipales'!AB316</f>
        <v>1000</v>
      </c>
      <c r="E314" s="8">
        <f>'Gastos Municipales'!AC316</f>
        <v>0</v>
      </c>
      <c r="F314" s="8">
        <f>'Gastos Municipales'!AD316</f>
        <v>1000</v>
      </c>
    </row>
    <row r="315" spans="1:6" ht="16.5">
      <c r="A315" s="8" t="s">
        <v>745</v>
      </c>
      <c r="B315" s="8" t="s">
        <v>746</v>
      </c>
      <c r="C315" s="8">
        <f>'Gastos Municipales'!AA317</f>
        <v>500</v>
      </c>
      <c r="D315" s="8">
        <f>'Gastos Municipales'!AB317</f>
        <v>500</v>
      </c>
      <c r="E315" s="8">
        <f>'Gastos Municipales'!AC317</f>
        <v>0</v>
      </c>
      <c r="F315" s="8">
        <f>'Gastos Municipales'!AD317</f>
        <v>500</v>
      </c>
    </row>
    <row r="316" spans="1:6" ht="16.5">
      <c r="A316" s="8" t="s">
        <v>518</v>
      </c>
      <c r="B316" s="8" t="s">
        <v>400</v>
      </c>
      <c r="C316" s="8">
        <f>'Gastos Municipales'!AA318</f>
        <v>3000</v>
      </c>
      <c r="D316" s="8">
        <f>'Gastos Municipales'!AB318</f>
        <v>3000</v>
      </c>
      <c r="E316" s="8">
        <f>'Gastos Municipales'!AC318</f>
        <v>0</v>
      </c>
      <c r="F316" s="8">
        <f>'Gastos Municipales'!AD318</f>
        <v>3000</v>
      </c>
    </row>
    <row r="317" spans="1:6" ht="16.5">
      <c r="A317" s="6" t="s">
        <v>519</v>
      </c>
      <c r="B317" s="6" t="s">
        <v>520</v>
      </c>
      <c r="C317" s="6">
        <f>'Gastos Municipales'!AA319</f>
        <v>1000</v>
      </c>
      <c r="D317" s="6">
        <f>'Gastos Municipales'!AB319</f>
        <v>1000</v>
      </c>
      <c r="E317" s="6">
        <f>'Gastos Municipales'!AC319</f>
        <v>0</v>
      </c>
      <c r="F317" s="6">
        <f>'Gastos Municipales'!AD319</f>
        <v>1000</v>
      </c>
    </row>
    <row r="318" spans="1:6" ht="16.5">
      <c r="A318" s="7" t="s">
        <v>521</v>
      </c>
      <c r="B318" s="7" t="s">
        <v>522</v>
      </c>
      <c r="C318" s="7">
        <f>'Gastos Municipales'!AA320</f>
        <v>1000</v>
      </c>
      <c r="D318" s="7">
        <f>'Gastos Municipales'!AB320</f>
        <v>1000</v>
      </c>
      <c r="E318" s="7">
        <f>'Gastos Municipales'!AC320</f>
        <v>0</v>
      </c>
      <c r="F318" s="7">
        <f>'Gastos Municipales'!AD320</f>
        <v>1000</v>
      </c>
    </row>
    <row r="319" spans="1:6" ht="16.5">
      <c r="A319" s="8" t="s">
        <v>523</v>
      </c>
      <c r="B319" s="8" t="s">
        <v>524</v>
      </c>
      <c r="C319" s="8">
        <f>'Gastos Municipales'!AA321</f>
        <v>1000</v>
      </c>
      <c r="D319" s="8">
        <f>'Gastos Municipales'!AB321</f>
        <v>1000</v>
      </c>
      <c r="E319" s="8">
        <f>'Gastos Municipales'!AC321</f>
        <v>0</v>
      </c>
      <c r="F319" s="8">
        <f>'Gastos Municipales'!AD321</f>
        <v>1000</v>
      </c>
    </row>
    <row r="320" spans="1:6" ht="16.5">
      <c r="A320" s="6" t="s">
        <v>525</v>
      </c>
      <c r="B320" s="6" t="s">
        <v>526</v>
      </c>
      <c r="C320" s="6">
        <f>'Gastos Municipales'!AA325</f>
        <v>1025000</v>
      </c>
      <c r="D320" s="6">
        <f>'Gastos Municipales'!AB325</f>
        <v>1025000</v>
      </c>
      <c r="E320" s="6">
        <f>'Gastos Municipales'!AC325</f>
        <v>746114</v>
      </c>
      <c r="F320" s="6">
        <f>'Gastos Municipales'!AD325</f>
        <v>278886</v>
      </c>
    </row>
    <row r="321" spans="1:6" ht="16.5">
      <c r="A321" s="7" t="s">
        <v>527</v>
      </c>
      <c r="B321" s="7" t="s">
        <v>528</v>
      </c>
      <c r="C321" s="7">
        <f>'Gastos Municipales'!AA326</f>
        <v>194000</v>
      </c>
      <c r="D321" s="7">
        <f>'Gastos Municipales'!AB326</f>
        <v>194000</v>
      </c>
      <c r="E321" s="7">
        <f>'Gastos Municipales'!AC326</f>
        <v>84224</v>
      </c>
      <c r="F321" s="7">
        <f>'Gastos Municipales'!AD326</f>
        <v>109776</v>
      </c>
    </row>
    <row r="322" spans="1:6" ht="16.5">
      <c r="A322" s="8" t="s">
        <v>529</v>
      </c>
      <c r="B322" s="8" t="s">
        <v>530</v>
      </c>
      <c r="C322" s="8">
        <f>'Gastos Municipales'!AA327</f>
        <v>12000</v>
      </c>
      <c r="D322" s="8">
        <f>'Gastos Municipales'!AB327</f>
        <v>12000</v>
      </c>
      <c r="E322" s="8">
        <f>'Gastos Municipales'!AC327</f>
        <v>0</v>
      </c>
      <c r="F322" s="8">
        <f>'Gastos Municipales'!AD327</f>
        <v>12000</v>
      </c>
    </row>
    <row r="323" spans="1:6" ht="16.5">
      <c r="A323" s="8" t="s">
        <v>531</v>
      </c>
      <c r="B323" s="8" t="s">
        <v>532</v>
      </c>
      <c r="C323" s="8">
        <f>'Gastos Municipales'!AA328</f>
        <v>0</v>
      </c>
      <c r="D323" s="8">
        <f>'Gastos Municipales'!AB328</f>
        <v>0</v>
      </c>
      <c r="E323" s="8">
        <f>'Gastos Municipales'!AC328</f>
        <v>0</v>
      </c>
      <c r="F323" s="8">
        <f>'Gastos Municipales'!AD328</f>
        <v>0</v>
      </c>
    </row>
    <row r="324" spans="1:6" ht="16.5">
      <c r="A324" s="8" t="s">
        <v>533</v>
      </c>
      <c r="B324" s="8" t="s">
        <v>534</v>
      </c>
      <c r="C324" s="8">
        <f>'Gastos Municipales'!AA329</f>
        <v>0</v>
      </c>
      <c r="D324" s="8">
        <f>'Gastos Municipales'!AB329</f>
        <v>0</v>
      </c>
      <c r="E324" s="8">
        <f>'Gastos Municipales'!AC329</f>
        <v>0</v>
      </c>
      <c r="F324" s="8">
        <f>'Gastos Municipales'!AD329</f>
        <v>0</v>
      </c>
    </row>
    <row r="325" spans="1:6" ht="16.5">
      <c r="A325" s="8" t="s">
        <v>535</v>
      </c>
      <c r="B325" s="8" t="s">
        <v>536</v>
      </c>
      <c r="C325" s="8">
        <f>'Gastos Municipales'!AA330</f>
        <v>14000</v>
      </c>
      <c r="D325" s="8">
        <f>'Gastos Municipales'!AB330</f>
        <v>14000</v>
      </c>
      <c r="E325" s="8">
        <f>'Gastos Municipales'!AC330</f>
        <v>1070</v>
      </c>
      <c r="F325" s="8">
        <f>'Gastos Municipales'!AD330</f>
        <v>12930</v>
      </c>
    </row>
    <row r="326" spans="1:6" ht="16.5">
      <c r="A326" s="8" t="s">
        <v>537</v>
      </c>
      <c r="B326" s="8" t="s">
        <v>538</v>
      </c>
      <c r="C326" s="8">
        <f>'Gastos Municipales'!AA331</f>
        <v>15000</v>
      </c>
      <c r="D326" s="8">
        <f>'Gastos Municipales'!AB331</f>
        <v>15000</v>
      </c>
      <c r="E326" s="8">
        <f>'Gastos Municipales'!AC331</f>
        <v>0</v>
      </c>
      <c r="F326" s="8">
        <f>'Gastos Municipales'!AD331</f>
        <v>15000</v>
      </c>
    </row>
    <row r="327" spans="1:6" ht="16.5">
      <c r="A327" s="8" t="s">
        <v>539</v>
      </c>
      <c r="B327" s="8" t="s">
        <v>540</v>
      </c>
      <c r="C327" s="8">
        <f>'Gastos Municipales'!AA332</f>
        <v>7000</v>
      </c>
      <c r="D327" s="8">
        <f>'Gastos Municipales'!AB332</f>
        <v>7000</v>
      </c>
      <c r="E327" s="8">
        <f>'Gastos Municipales'!AC332</f>
        <v>1187</v>
      </c>
      <c r="F327" s="8">
        <f>'Gastos Municipales'!AD332</f>
        <v>5813</v>
      </c>
    </row>
    <row r="328" spans="1:6" ht="16.5">
      <c r="A328" s="8" t="s">
        <v>541</v>
      </c>
      <c r="B328" s="8" t="s">
        <v>542</v>
      </c>
      <c r="C328" s="8">
        <f>'Gastos Municipales'!AA333</f>
        <v>70000</v>
      </c>
      <c r="D328" s="8">
        <f>'Gastos Municipales'!AB333</f>
        <v>70000</v>
      </c>
      <c r="E328" s="8">
        <f>'Gastos Municipales'!AC333</f>
        <v>42794</v>
      </c>
      <c r="F328" s="8">
        <f>'Gastos Municipales'!AD333</f>
        <v>27206</v>
      </c>
    </row>
    <row r="329" spans="1:6" ht="16.5">
      <c r="A329" s="8" t="s">
        <v>543</v>
      </c>
      <c r="B329" s="8" t="s">
        <v>544</v>
      </c>
      <c r="C329" s="8">
        <f>'Gastos Municipales'!AA334</f>
        <v>36000</v>
      </c>
      <c r="D329" s="8">
        <f>'Gastos Municipales'!AB334</f>
        <v>36000</v>
      </c>
      <c r="E329" s="8">
        <f>'Gastos Municipales'!AC334</f>
        <v>21841</v>
      </c>
      <c r="F329" s="8">
        <f>'Gastos Municipales'!AD334</f>
        <v>14159</v>
      </c>
    </row>
    <row r="330" spans="1:6" ht="16.5">
      <c r="A330" s="8" t="s">
        <v>545</v>
      </c>
      <c r="B330" s="8" t="s">
        <v>546</v>
      </c>
      <c r="C330" s="8">
        <f>'Gastos Municipales'!AA336</f>
        <v>40000</v>
      </c>
      <c r="D330" s="8">
        <f>'Gastos Municipales'!AB336</f>
        <v>40000</v>
      </c>
      <c r="E330" s="8">
        <f>'Gastos Municipales'!AC336</f>
        <v>17332</v>
      </c>
      <c r="F330" s="8">
        <f>'Gastos Municipales'!AD336</f>
        <v>22668</v>
      </c>
    </row>
    <row r="331" spans="1:6" ht="16.5">
      <c r="A331" s="7" t="s">
        <v>547</v>
      </c>
      <c r="B331" s="7" t="s">
        <v>548</v>
      </c>
      <c r="C331" s="7">
        <f>'Gastos Municipales'!AA337</f>
        <v>831000</v>
      </c>
      <c r="D331" s="7">
        <f>'Gastos Municipales'!AB337</f>
        <v>831000</v>
      </c>
      <c r="E331" s="7">
        <f>'Gastos Municipales'!AC337</f>
        <v>661890</v>
      </c>
      <c r="F331" s="7">
        <f>'Gastos Municipales'!AD337</f>
        <v>169110</v>
      </c>
    </row>
    <row r="332" spans="1:6" ht="16.5">
      <c r="A332" s="8" t="s">
        <v>549</v>
      </c>
      <c r="B332" s="8" t="s">
        <v>550</v>
      </c>
      <c r="C332" s="8">
        <f>'Gastos Municipales'!AA338</f>
        <v>0</v>
      </c>
      <c r="D332" s="8">
        <f>'Gastos Municipales'!AB338</f>
        <v>0</v>
      </c>
      <c r="E332" s="8">
        <f>'Gastos Municipales'!AC338</f>
        <v>0</v>
      </c>
      <c r="F332" s="8">
        <f>'Gastos Municipales'!AD338</f>
        <v>0</v>
      </c>
    </row>
    <row r="333" spans="1:6" ht="16.5">
      <c r="A333" s="8" t="s">
        <v>551</v>
      </c>
      <c r="B333" s="8" t="s">
        <v>552</v>
      </c>
      <c r="C333" s="8">
        <f>'Gastos Municipales'!AA339</f>
        <v>1000</v>
      </c>
      <c r="D333" s="8">
        <f>'Gastos Municipales'!AB339</f>
        <v>1000</v>
      </c>
      <c r="E333" s="8">
        <f>'Gastos Municipales'!AC339</f>
        <v>2730</v>
      </c>
      <c r="F333" s="8">
        <f>'Gastos Municipales'!AD339</f>
        <v>-1730</v>
      </c>
    </row>
    <row r="334" spans="1:6" ht="15">
      <c r="A334" s="5" t="s">
        <v>553</v>
      </c>
      <c r="B334" s="5" t="s">
        <v>554</v>
      </c>
      <c r="C334" s="5">
        <f>'Gastos Municipales'!AA340</f>
        <v>1000</v>
      </c>
      <c r="D334" s="5">
        <f>'Gastos Municipales'!AB340</f>
        <v>1000</v>
      </c>
      <c r="E334" s="5">
        <f>'Gastos Municipales'!AC340</f>
        <v>2730</v>
      </c>
      <c r="F334" s="5">
        <f>'Gastos Municipales'!AD340</f>
        <v>-1730</v>
      </c>
    </row>
    <row r="335" spans="1:6" ht="16.5">
      <c r="A335" s="8" t="s">
        <v>555</v>
      </c>
      <c r="B335" s="8" t="s">
        <v>556</v>
      </c>
      <c r="C335" s="8">
        <f>'Gastos Municipales'!AA341</f>
        <v>14000</v>
      </c>
      <c r="D335" s="8">
        <f>'Gastos Municipales'!AB341</f>
        <v>14000</v>
      </c>
      <c r="E335" s="8">
        <f>'Gastos Municipales'!AC341</f>
        <v>0</v>
      </c>
      <c r="F335" s="8">
        <f>'Gastos Municipales'!AD341</f>
        <v>14000</v>
      </c>
    </row>
    <row r="336" spans="1:6" ht="15">
      <c r="A336" s="5" t="s">
        <v>557</v>
      </c>
      <c r="B336" s="5" t="s">
        <v>558</v>
      </c>
      <c r="C336" s="5">
        <f>'Gastos Municipales'!AA342</f>
        <v>6000</v>
      </c>
      <c r="D336" s="5">
        <f>'Gastos Municipales'!AB342</f>
        <v>6000</v>
      </c>
      <c r="E336" s="5">
        <f>'Gastos Municipales'!AC342</f>
        <v>0</v>
      </c>
      <c r="F336" s="5">
        <f>'Gastos Municipales'!AD342</f>
        <v>6000</v>
      </c>
    </row>
    <row r="337" spans="1:6" ht="15">
      <c r="A337" s="5" t="s">
        <v>559</v>
      </c>
      <c r="B337" s="5" t="s">
        <v>560</v>
      </c>
      <c r="C337" s="5">
        <f>'Gastos Municipales'!AA343</f>
        <v>8000</v>
      </c>
      <c r="D337" s="5">
        <f>'Gastos Municipales'!AB343</f>
        <v>8000</v>
      </c>
      <c r="E337" s="5">
        <f>'Gastos Municipales'!AC343</f>
        <v>0</v>
      </c>
      <c r="F337" s="5">
        <f>'Gastos Municipales'!AD343</f>
        <v>8000</v>
      </c>
    </row>
    <row r="338" spans="1:6" ht="16.5">
      <c r="A338" s="8" t="s">
        <v>561</v>
      </c>
      <c r="B338" s="8" t="s">
        <v>562</v>
      </c>
      <c r="C338" s="8">
        <f>'Gastos Municipales'!AA344</f>
        <v>173000</v>
      </c>
      <c r="D338" s="8">
        <f>'Gastos Municipales'!AB344</f>
        <v>173000</v>
      </c>
      <c r="E338" s="8">
        <f>'Gastos Municipales'!AC344</f>
        <v>126866</v>
      </c>
      <c r="F338" s="8">
        <f>'Gastos Municipales'!AD344</f>
        <v>46134</v>
      </c>
    </row>
    <row r="339" spans="1:6" ht="15">
      <c r="A339" s="5" t="s">
        <v>563</v>
      </c>
      <c r="B339" s="5" t="s">
        <v>564</v>
      </c>
      <c r="C339" s="5">
        <f>'Gastos Municipales'!AA345</f>
        <v>173000</v>
      </c>
      <c r="D339" s="5">
        <f>'Gastos Municipales'!AB345</f>
        <v>173000</v>
      </c>
      <c r="E339" s="5">
        <f>'Gastos Municipales'!AC345</f>
        <v>126866</v>
      </c>
      <c r="F339" s="5">
        <f>'Gastos Municipales'!AD345</f>
        <v>46134</v>
      </c>
    </row>
    <row r="340" spans="1:6" ht="15">
      <c r="A340" s="5" t="s">
        <v>565</v>
      </c>
      <c r="B340" s="5" t="s">
        <v>566</v>
      </c>
      <c r="C340" s="5">
        <f>'Gastos Municipales'!AA346</f>
        <v>0</v>
      </c>
      <c r="D340" s="5">
        <f>'Gastos Municipales'!AB346</f>
        <v>0</v>
      </c>
      <c r="E340" s="5">
        <f>'Gastos Municipales'!AC346</f>
        <v>0</v>
      </c>
      <c r="F340" s="5">
        <f>'Gastos Municipales'!AD346</f>
        <v>0</v>
      </c>
    </row>
    <row r="341" spans="1:6" ht="15">
      <c r="A341" s="5" t="s">
        <v>567</v>
      </c>
      <c r="B341" s="5" t="s">
        <v>568</v>
      </c>
      <c r="C341" s="5">
        <f>'Gastos Municipales'!AA347</f>
        <v>0</v>
      </c>
      <c r="D341" s="5">
        <f>'Gastos Municipales'!AB347</f>
        <v>0</v>
      </c>
      <c r="E341" s="5">
        <f>'Gastos Municipales'!AC347</f>
        <v>0</v>
      </c>
      <c r="F341" s="5">
        <f>'Gastos Municipales'!AD347</f>
        <v>0</v>
      </c>
    </row>
    <row r="342" spans="1:6" ht="16.5">
      <c r="A342" s="8" t="s">
        <v>569</v>
      </c>
      <c r="B342" s="8" t="s">
        <v>570</v>
      </c>
      <c r="C342" s="8">
        <f>'Gastos Municipales'!AA348</f>
        <v>0</v>
      </c>
      <c r="D342" s="8">
        <f>'Gastos Municipales'!AB348</f>
        <v>0</v>
      </c>
      <c r="E342" s="8">
        <f>'Gastos Municipales'!AC348</f>
        <v>0</v>
      </c>
      <c r="F342" s="8">
        <f>'Gastos Municipales'!AD348</f>
        <v>0</v>
      </c>
    </row>
    <row r="343" spans="1:6" ht="15">
      <c r="A343" s="5" t="s">
        <v>571</v>
      </c>
      <c r="B343" s="5" t="s">
        <v>564</v>
      </c>
      <c r="C343" s="5">
        <f>'Gastos Municipales'!AA349</f>
        <v>0</v>
      </c>
      <c r="D343" s="5">
        <f>'Gastos Municipales'!AB349</f>
        <v>0</v>
      </c>
      <c r="E343" s="5">
        <f>'Gastos Municipales'!AC349</f>
        <v>0</v>
      </c>
      <c r="F343" s="5">
        <f>'Gastos Municipales'!AD349</f>
        <v>0</v>
      </c>
    </row>
    <row r="344" spans="1:6" ht="15">
      <c r="A344" s="5" t="s">
        <v>572</v>
      </c>
      <c r="B344" s="5" t="s">
        <v>566</v>
      </c>
      <c r="C344" s="5">
        <f>'Gastos Municipales'!AA350</f>
        <v>0</v>
      </c>
      <c r="D344" s="5">
        <f>'Gastos Municipales'!AB350</f>
        <v>0</v>
      </c>
      <c r="E344" s="5">
        <f>'Gastos Municipales'!AC350</f>
        <v>0</v>
      </c>
      <c r="F344" s="5">
        <f>'Gastos Municipales'!AD350</f>
        <v>0</v>
      </c>
    </row>
    <row r="345" spans="1:6" ht="15">
      <c r="A345" s="5" t="s">
        <v>573</v>
      </c>
      <c r="B345" s="5" t="s">
        <v>568</v>
      </c>
      <c r="C345" s="5">
        <f>'Gastos Municipales'!AA351</f>
        <v>0</v>
      </c>
      <c r="D345" s="5">
        <f>'Gastos Municipales'!AB351</f>
        <v>0</v>
      </c>
      <c r="E345" s="5">
        <f>'Gastos Municipales'!AC351</f>
        <v>0</v>
      </c>
      <c r="F345" s="5">
        <f>'Gastos Municipales'!AD351</f>
        <v>0</v>
      </c>
    </row>
    <row r="346" spans="1:6" ht="16.5">
      <c r="A346" s="8" t="s">
        <v>574</v>
      </c>
      <c r="B346" s="8" t="s">
        <v>575</v>
      </c>
      <c r="C346" s="8">
        <f>'Gastos Municipales'!AA352</f>
        <v>0</v>
      </c>
      <c r="D346" s="8">
        <f>'Gastos Municipales'!AB352</f>
        <v>0</v>
      </c>
      <c r="E346" s="8">
        <f>'Gastos Municipales'!AC352</f>
        <v>0</v>
      </c>
      <c r="F346" s="8">
        <f>'Gastos Municipales'!AD352</f>
        <v>0</v>
      </c>
    </row>
    <row r="347" spans="1:6" ht="15">
      <c r="A347" s="5" t="s">
        <v>576</v>
      </c>
      <c r="B347" s="5" t="s">
        <v>577</v>
      </c>
      <c r="C347" s="5">
        <f>'Gastos Municipales'!AA353</f>
        <v>0</v>
      </c>
      <c r="D347" s="5">
        <f>'Gastos Municipales'!AB353</f>
        <v>0</v>
      </c>
      <c r="E347" s="5">
        <f>'Gastos Municipales'!AC353</f>
        <v>0</v>
      </c>
      <c r="F347" s="5">
        <f>'Gastos Municipales'!AD353</f>
        <v>0</v>
      </c>
    </row>
    <row r="348" spans="1:6" ht="16.5">
      <c r="A348" s="8" t="s">
        <v>578</v>
      </c>
      <c r="B348" s="8" t="s">
        <v>579</v>
      </c>
      <c r="C348" s="8">
        <f>'Gastos Municipales'!AA356</f>
        <v>1000</v>
      </c>
      <c r="D348" s="8">
        <f>'Gastos Municipales'!AB356</f>
        <v>1000</v>
      </c>
      <c r="E348" s="8">
        <f>'Gastos Municipales'!AC356</f>
        <v>658</v>
      </c>
      <c r="F348" s="8">
        <f>'Gastos Municipales'!AD356</f>
        <v>342</v>
      </c>
    </row>
    <row r="349" spans="1:6" ht="16.5">
      <c r="A349" s="8" t="s">
        <v>580</v>
      </c>
      <c r="B349" s="8" t="s">
        <v>581</v>
      </c>
      <c r="C349" s="8">
        <f>'Gastos Municipales'!AA357</f>
        <v>1000</v>
      </c>
      <c r="D349" s="8">
        <f>'Gastos Municipales'!AB357</f>
        <v>1000</v>
      </c>
      <c r="E349" s="8">
        <f>'Gastos Municipales'!AC357</f>
        <v>0</v>
      </c>
      <c r="F349" s="8">
        <f>'Gastos Municipales'!AD357</f>
        <v>1000</v>
      </c>
    </row>
    <row r="350" spans="1:6" ht="16.5">
      <c r="A350" s="8" t="s">
        <v>582</v>
      </c>
      <c r="B350" s="8" t="s">
        <v>583</v>
      </c>
      <c r="C350" s="8">
        <f>'Gastos Municipales'!AA358</f>
        <v>641000</v>
      </c>
      <c r="D350" s="8">
        <f>'Gastos Municipales'!AB358</f>
        <v>641000</v>
      </c>
      <c r="E350" s="8">
        <f>'Gastos Municipales'!AC358</f>
        <v>531636</v>
      </c>
      <c r="F350" s="8">
        <f>'Gastos Municipales'!AD358</f>
        <v>109364</v>
      </c>
    </row>
    <row r="351" spans="1:6" ht="15">
      <c r="A351" s="5" t="s">
        <v>584</v>
      </c>
      <c r="B351" s="5" t="s">
        <v>585</v>
      </c>
      <c r="C351" s="5">
        <f>'Gastos Municipales'!AA359</f>
        <v>455000</v>
      </c>
      <c r="D351" s="5">
        <f>'Gastos Municipales'!AB359</f>
        <v>455000</v>
      </c>
      <c r="E351" s="5">
        <f>'Gastos Municipales'!AC359</f>
        <v>446800</v>
      </c>
      <c r="F351" s="5">
        <f>'Gastos Municipales'!AD359</f>
        <v>8200</v>
      </c>
    </row>
    <row r="352" spans="1:6" ht="15">
      <c r="A352" s="5" t="s">
        <v>586</v>
      </c>
      <c r="B352" s="5" t="s">
        <v>587</v>
      </c>
      <c r="C352" s="5">
        <f>'Gastos Municipales'!AA360</f>
        <v>186000</v>
      </c>
      <c r="D352" s="5">
        <f>'Gastos Municipales'!AB360</f>
        <v>186000</v>
      </c>
      <c r="E352" s="5">
        <f>'Gastos Municipales'!AC360</f>
        <v>84836</v>
      </c>
      <c r="F352" s="5">
        <f>'Gastos Municipales'!AD360</f>
        <v>101164</v>
      </c>
    </row>
    <row r="353" spans="1:6" ht="15">
      <c r="A353" s="5" t="s">
        <v>588</v>
      </c>
      <c r="B353" s="5" t="s">
        <v>589</v>
      </c>
      <c r="C353" s="5">
        <f>'Gastos Municipales'!AA361</f>
        <v>0</v>
      </c>
      <c r="D353" s="5">
        <f>'Gastos Municipales'!AB361</f>
        <v>0</v>
      </c>
      <c r="E353" s="5">
        <f>'Gastos Municipales'!AC361</f>
        <v>0</v>
      </c>
      <c r="F353" s="5">
        <f>'Gastos Municipales'!AD361</f>
        <v>0</v>
      </c>
    </row>
    <row r="354" spans="1:6" ht="16.5">
      <c r="A354" s="7" t="s">
        <v>590</v>
      </c>
      <c r="B354" s="7" t="s">
        <v>591</v>
      </c>
      <c r="C354" s="7">
        <f>'Gastos Municipales'!AA362</f>
        <v>0</v>
      </c>
      <c r="D354" s="7">
        <f>'Gastos Municipales'!AB362</f>
        <v>0</v>
      </c>
      <c r="E354" s="7">
        <f>'Gastos Municipales'!AC362</f>
        <v>0</v>
      </c>
      <c r="F354" s="7">
        <f>'Gastos Municipales'!AD362</f>
        <v>0</v>
      </c>
    </row>
    <row r="355" spans="1:6" ht="16.5">
      <c r="A355" s="7" t="s">
        <v>592</v>
      </c>
      <c r="B355" s="7" t="s">
        <v>593</v>
      </c>
      <c r="C355" s="7">
        <f>'Gastos Municipales'!AA363</f>
        <v>0</v>
      </c>
      <c r="D355" s="7">
        <f>'Gastos Municipales'!AB363</f>
        <v>0</v>
      </c>
      <c r="E355" s="7">
        <f>'Gastos Municipales'!AC363</f>
        <v>0</v>
      </c>
      <c r="F355" s="7">
        <f>'Gastos Municipales'!AD363</f>
        <v>0</v>
      </c>
    </row>
    <row r="356" spans="1:6" ht="16.5">
      <c r="A356" s="7" t="s">
        <v>594</v>
      </c>
      <c r="B356" s="7" t="s">
        <v>595</v>
      </c>
      <c r="C356" s="7">
        <f>'Gastos Municipales'!AA364</f>
        <v>0</v>
      </c>
      <c r="D356" s="7">
        <f>'Gastos Municipales'!AB364</f>
        <v>0</v>
      </c>
      <c r="E356" s="7">
        <f>'Gastos Municipales'!AC364</f>
        <v>0</v>
      </c>
      <c r="F356" s="7">
        <f>'Gastos Municipales'!AD364</f>
        <v>0</v>
      </c>
    </row>
    <row r="357" spans="1:6" ht="16.5">
      <c r="A357" s="7" t="s">
        <v>596</v>
      </c>
      <c r="B357" s="7" t="s">
        <v>597</v>
      </c>
      <c r="C357" s="7">
        <f>'Gastos Municipales'!AA365</f>
        <v>0</v>
      </c>
      <c r="D357" s="7">
        <f>'Gastos Municipales'!AB365</f>
        <v>0</v>
      </c>
      <c r="E357" s="7">
        <f>'Gastos Municipales'!AC365</f>
        <v>0</v>
      </c>
      <c r="F357" s="7">
        <f>'Gastos Municipales'!AD365</f>
        <v>0</v>
      </c>
    </row>
    <row r="358" spans="1:6" ht="16.5">
      <c r="A358" s="6" t="s">
        <v>598</v>
      </c>
      <c r="B358" s="6" t="s">
        <v>599</v>
      </c>
      <c r="C358" s="6">
        <f>'Gastos Municipales'!AA368</f>
        <v>0</v>
      </c>
      <c r="D358" s="6">
        <f>'Gastos Municipales'!AB368</f>
        <v>0</v>
      </c>
      <c r="E358" s="6">
        <f>'Gastos Municipales'!AC368</f>
        <v>0</v>
      </c>
      <c r="F358" s="6">
        <f>'Gastos Municipales'!AD368</f>
        <v>0</v>
      </c>
    </row>
    <row r="359" spans="1:6" ht="16.5">
      <c r="A359" s="7" t="s">
        <v>600</v>
      </c>
      <c r="B359" s="7" t="s">
        <v>601</v>
      </c>
      <c r="C359" s="7">
        <f>'Gastos Municipales'!AA369</f>
        <v>0</v>
      </c>
      <c r="D359" s="7">
        <f>'Gastos Municipales'!AB369</f>
        <v>0</v>
      </c>
      <c r="E359" s="7">
        <f>'Gastos Municipales'!AC369</f>
        <v>0</v>
      </c>
      <c r="F359" s="7">
        <f>'Gastos Municipales'!AD369</f>
        <v>0</v>
      </c>
    </row>
    <row r="360" spans="1:6" ht="16.5">
      <c r="A360" s="6" t="s">
        <v>602</v>
      </c>
      <c r="B360" s="6" t="s">
        <v>603</v>
      </c>
      <c r="C360" s="6">
        <f>'Gastos Municipales'!AA370</f>
        <v>3000</v>
      </c>
      <c r="D360" s="6">
        <f>'Gastos Municipales'!AB370</f>
        <v>3000</v>
      </c>
      <c r="E360" s="6">
        <f>'Gastos Municipales'!AC370</f>
        <v>155</v>
      </c>
      <c r="F360" s="6">
        <f>'Gastos Municipales'!AD370</f>
        <v>2845</v>
      </c>
    </row>
    <row r="361" spans="1:6" ht="16.5">
      <c r="A361" s="7" t="s">
        <v>604</v>
      </c>
      <c r="B361" s="7" t="s">
        <v>605</v>
      </c>
      <c r="C361" s="7">
        <f>'Gastos Municipales'!AA371</f>
        <v>1000</v>
      </c>
      <c r="D361" s="7">
        <f>'Gastos Municipales'!AB371</f>
        <v>1000</v>
      </c>
      <c r="E361" s="7">
        <f>'Gastos Municipales'!AC371</f>
        <v>155</v>
      </c>
      <c r="F361" s="7">
        <f>'Gastos Municipales'!AD371</f>
        <v>845</v>
      </c>
    </row>
    <row r="362" spans="1:6" ht="16.5">
      <c r="A362" s="7" t="s">
        <v>606</v>
      </c>
      <c r="B362" s="7" t="s">
        <v>607</v>
      </c>
      <c r="C362" s="7">
        <f>'Gastos Municipales'!AA372</f>
        <v>1000</v>
      </c>
      <c r="D362" s="7">
        <f>'Gastos Municipales'!AB372</f>
        <v>1000</v>
      </c>
      <c r="E362" s="7">
        <f>'Gastos Municipales'!AC372</f>
        <v>0</v>
      </c>
      <c r="F362" s="7">
        <f>'Gastos Municipales'!AD372</f>
        <v>1000</v>
      </c>
    </row>
    <row r="363" spans="1:6" ht="16.5">
      <c r="A363" s="7" t="s">
        <v>608</v>
      </c>
      <c r="B363" s="7" t="s">
        <v>609</v>
      </c>
      <c r="C363" s="7">
        <f>'Gastos Municipales'!AA373</f>
        <v>1000</v>
      </c>
      <c r="D363" s="7">
        <f>'Gastos Municipales'!AB373</f>
        <v>1000</v>
      </c>
      <c r="E363" s="7">
        <f>'Gastos Municipales'!AC373</f>
        <v>0</v>
      </c>
      <c r="F363" s="7">
        <f>'Gastos Municipales'!AD373</f>
        <v>1000</v>
      </c>
    </row>
    <row r="364" spans="1:6" ht="16.5">
      <c r="A364" s="8" t="s">
        <v>610</v>
      </c>
      <c r="B364" s="8" t="s">
        <v>611</v>
      </c>
      <c r="C364" s="8">
        <f>'Gastos Municipales'!AA374</f>
        <v>500</v>
      </c>
      <c r="D364" s="8">
        <f>'Gastos Municipales'!AB374</f>
        <v>500</v>
      </c>
      <c r="E364" s="8">
        <f>'Gastos Municipales'!AC374</f>
        <v>0</v>
      </c>
      <c r="F364" s="8">
        <f>'Gastos Municipales'!AD374</f>
        <v>500</v>
      </c>
    </row>
    <row r="365" spans="1:6" ht="16.5">
      <c r="A365" s="8" t="s">
        <v>612</v>
      </c>
      <c r="B365" s="8" t="s">
        <v>613</v>
      </c>
      <c r="C365" s="8">
        <f>'Gastos Municipales'!AA376</f>
        <v>500</v>
      </c>
      <c r="D365" s="8">
        <f>'Gastos Municipales'!AB376</f>
        <v>500</v>
      </c>
      <c r="E365" s="8">
        <f>'Gastos Municipales'!AC376</f>
        <v>0</v>
      </c>
      <c r="F365" s="8">
        <f>'Gastos Municipales'!AD376</f>
        <v>500</v>
      </c>
    </row>
    <row r="366" spans="1:6" ht="16.5">
      <c r="A366" s="6" t="s">
        <v>614</v>
      </c>
      <c r="B366" s="6" t="s">
        <v>615</v>
      </c>
      <c r="C366" s="6">
        <f>'Gastos Municipales'!AA377</f>
        <v>22000</v>
      </c>
      <c r="D366" s="6">
        <f>'Gastos Municipales'!AB377</f>
        <v>22000</v>
      </c>
      <c r="E366" s="6">
        <f>'Gastos Municipales'!AC377</f>
        <v>6218</v>
      </c>
      <c r="F366" s="6">
        <f>'Gastos Municipales'!AD377</f>
        <v>15782</v>
      </c>
    </row>
    <row r="367" spans="1:6" ht="16.5">
      <c r="A367" s="7" t="s">
        <v>616</v>
      </c>
      <c r="B367" s="7" t="s">
        <v>617</v>
      </c>
      <c r="C367" s="7">
        <f>'Gastos Municipales'!AA378</f>
        <v>0</v>
      </c>
      <c r="D367" s="7">
        <f>'Gastos Municipales'!AB378</f>
        <v>0</v>
      </c>
      <c r="E367" s="7">
        <f>'Gastos Municipales'!AC378</f>
        <v>0</v>
      </c>
      <c r="F367" s="7">
        <f>'Gastos Municipales'!AD378</f>
        <v>0</v>
      </c>
    </row>
    <row r="368" spans="1:6" ht="16.5">
      <c r="A368" s="7" t="s">
        <v>618</v>
      </c>
      <c r="B368" s="7" t="s">
        <v>619</v>
      </c>
      <c r="C368" s="7">
        <f>'Gastos Municipales'!AA379</f>
        <v>0</v>
      </c>
      <c r="D368" s="7">
        <f>'Gastos Municipales'!AB379</f>
        <v>0</v>
      </c>
      <c r="E368" s="7">
        <f>'Gastos Municipales'!AC379</f>
        <v>0</v>
      </c>
      <c r="F368" s="7">
        <f>'Gastos Municipales'!AD379</f>
        <v>0</v>
      </c>
    </row>
    <row r="369" spans="1:6" ht="16.5">
      <c r="A369" s="7" t="s">
        <v>620</v>
      </c>
      <c r="B369" s="7" t="s">
        <v>621</v>
      </c>
      <c r="C369" s="7">
        <f>'Gastos Municipales'!AA380</f>
        <v>0</v>
      </c>
      <c r="D369" s="7">
        <f>'Gastos Municipales'!AB380</f>
        <v>0</v>
      </c>
      <c r="E369" s="7">
        <f>'Gastos Municipales'!AC380</f>
        <v>0</v>
      </c>
      <c r="F369" s="7">
        <f>'Gastos Municipales'!AD380</f>
        <v>0</v>
      </c>
    </row>
    <row r="370" spans="1:6" ht="16.5">
      <c r="A370" s="7" t="s">
        <v>622</v>
      </c>
      <c r="B370" s="7" t="s">
        <v>623</v>
      </c>
      <c r="C370" s="7">
        <f>'Gastos Municipales'!AA381</f>
        <v>10000</v>
      </c>
      <c r="D370" s="7">
        <f>'Gastos Municipales'!AB381</f>
        <v>10000</v>
      </c>
      <c r="E370" s="7">
        <f>'Gastos Municipales'!AC381</f>
        <v>0</v>
      </c>
      <c r="F370" s="7">
        <f>'Gastos Municipales'!AD381</f>
        <v>10000</v>
      </c>
    </row>
    <row r="371" spans="1:6" ht="16.5">
      <c r="A371" s="7" t="s">
        <v>624</v>
      </c>
      <c r="B371" s="7" t="s">
        <v>625</v>
      </c>
      <c r="C371" s="7">
        <f>'Gastos Municipales'!AA382</f>
        <v>4000</v>
      </c>
      <c r="D371" s="7">
        <f>'Gastos Municipales'!AB382</f>
        <v>4000</v>
      </c>
      <c r="E371" s="7">
        <f>'Gastos Municipales'!AC382</f>
        <v>6218</v>
      </c>
      <c r="F371" s="7">
        <f>'Gastos Municipales'!AD382</f>
        <v>-2218</v>
      </c>
    </row>
    <row r="372" spans="1:6" ht="16.5">
      <c r="A372" s="8" t="s">
        <v>626</v>
      </c>
      <c r="B372" s="8" t="s">
        <v>627</v>
      </c>
      <c r="C372" s="8">
        <f>'Gastos Municipales'!AA383</f>
        <v>1000</v>
      </c>
      <c r="D372" s="8">
        <f>'Gastos Municipales'!AB383</f>
        <v>1000</v>
      </c>
      <c r="E372" s="8">
        <f>'Gastos Municipales'!AC383</f>
        <v>2528</v>
      </c>
      <c r="F372" s="8">
        <f>'Gastos Municipales'!AD383</f>
        <v>-1528</v>
      </c>
    </row>
    <row r="373" spans="1:6" ht="16.5">
      <c r="A373" s="8" t="s">
        <v>628</v>
      </c>
      <c r="B373" s="8" t="s">
        <v>629</v>
      </c>
      <c r="C373" s="8">
        <f>'Gastos Municipales'!AA384</f>
        <v>1000</v>
      </c>
      <c r="D373" s="8">
        <f>'Gastos Municipales'!AB384</f>
        <v>1000</v>
      </c>
      <c r="E373" s="8">
        <f>'Gastos Municipales'!AC384</f>
        <v>3439</v>
      </c>
      <c r="F373" s="8">
        <f>'Gastos Municipales'!AD384</f>
        <v>-2439</v>
      </c>
    </row>
    <row r="374" spans="1:6" ht="16.5">
      <c r="A374" s="8" t="s">
        <v>630</v>
      </c>
      <c r="B374" s="8" t="s">
        <v>325</v>
      </c>
      <c r="C374" s="8">
        <f>'Gastos Municipales'!AA385</f>
        <v>2000</v>
      </c>
      <c r="D374" s="8">
        <f>'Gastos Municipales'!AB385</f>
        <v>2000</v>
      </c>
      <c r="E374" s="8">
        <f>'Gastos Municipales'!AC385</f>
        <v>251</v>
      </c>
      <c r="F374" s="8">
        <f>'Gastos Municipales'!AD385</f>
        <v>1749</v>
      </c>
    </row>
    <row r="375" spans="1:6" ht="16.5">
      <c r="A375" s="7" t="s">
        <v>631</v>
      </c>
      <c r="B375" s="7" t="s">
        <v>632</v>
      </c>
      <c r="C375" s="7">
        <f>'Gastos Municipales'!AA386</f>
        <v>4000</v>
      </c>
      <c r="D375" s="7">
        <f>'Gastos Municipales'!AB386</f>
        <v>4000</v>
      </c>
      <c r="E375" s="7">
        <f>'Gastos Municipales'!AC386</f>
        <v>0</v>
      </c>
      <c r="F375" s="7">
        <f>'Gastos Municipales'!AD386</f>
        <v>4000</v>
      </c>
    </row>
    <row r="376" spans="1:6" ht="16.5">
      <c r="A376" s="8" t="s">
        <v>633</v>
      </c>
      <c r="B376" s="8" t="s">
        <v>634</v>
      </c>
      <c r="C376" s="8">
        <f>'Gastos Municipales'!AA387</f>
        <v>4000</v>
      </c>
      <c r="D376" s="8">
        <f>'Gastos Municipales'!AB387</f>
        <v>4000</v>
      </c>
      <c r="E376" s="8">
        <f>'Gastos Municipales'!AC387</f>
        <v>0</v>
      </c>
      <c r="F376" s="8">
        <f>'Gastos Municipales'!AD387</f>
        <v>4000</v>
      </c>
    </row>
    <row r="377" spans="1:6" ht="16.5">
      <c r="A377" s="8" t="s">
        <v>635</v>
      </c>
      <c r="B377" s="8" t="s">
        <v>636</v>
      </c>
      <c r="C377" s="8">
        <f>'Gastos Municipales'!AA388</f>
        <v>0</v>
      </c>
      <c r="D377" s="8">
        <f>'Gastos Municipales'!AB388</f>
        <v>0</v>
      </c>
      <c r="E377" s="8">
        <f>'Gastos Municipales'!AC388</f>
        <v>0</v>
      </c>
      <c r="F377" s="8">
        <f>'Gastos Municipales'!AD388</f>
        <v>0</v>
      </c>
    </row>
    <row r="378" spans="1:6" ht="16.5">
      <c r="A378" s="7" t="s">
        <v>637</v>
      </c>
      <c r="B378" s="7" t="s">
        <v>638</v>
      </c>
      <c r="C378" s="7">
        <f>'Gastos Municipales'!AA389</f>
        <v>4000</v>
      </c>
      <c r="D378" s="7">
        <f>'Gastos Municipales'!AB389</f>
        <v>4000</v>
      </c>
      <c r="E378" s="7">
        <f>'Gastos Municipales'!AC389</f>
        <v>0</v>
      </c>
      <c r="F378" s="7">
        <f>'Gastos Municipales'!AD389</f>
        <v>4000</v>
      </c>
    </row>
    <row r="379" spans="1:6" ht="16.5">
      <c r="A379" s="8" t="s">
        <v>639</v>
      </c>
      <c r="B379" s="8" t="s">
        <v>640</v>
      </c>
      <c r="C379" s="8">
        <f>'Gastos Municipales'!AA390</f>
        <v>4000</v>
      </c>
      <c r="D379" s="8">
        <f>'Gastos Municipales'!AB390</f>
        <v>4000</v>
      </c>
      <c r="E379" s="8">
        <f>'Gastos Municipales'!AC390</f>
        <v>0</v>
      </c>
      <c r="F379" s="8">
        <f>'Gastos Municipales'!AD390</f>
        <v>4000</v>
      </c>
    </row>
    <row r="380" spans="1:6" ht="16.5">
      <c r="A380" s="8" t="s">
        <v>641</v>
      </c>
      <c r="B380" s="8" t="s">
        <v>642</v>
      </c>
      <c r="C380" s="8">
        <f>'Gastos Municipales'!AA391</f>
        <v>0</v>
      </c>
      <c r="D380" s="8">
        <f>'Gastos Municipales'!AB391</f>
        <v>0</v>
      </c>
      <c r="E380" s="8">
        <f>'Gastos Municipales'!AC391</f>
        <v>0</v>
      </c>
      <c r="F380" s="8">
        <f>'Gastos Municipales'!AD391</f>
        <v>0</v>
      </c>
    </row>
    <row r="381" spans="1:6" ht="16.5">
      <c r="A381" s="7" t="s">
        <v>643</v>
      </c>
      <c r="B381" s="7" t="s">
        <v>644</v>
      </c>
      <c r="C381" s="7">
        <f>'Gastos Municipales'!AA392</f>
        <v>0</v>
      </c>
      <c r="D381" s="7">
        <f>'Gastos Municipales'!AB392</f>
        <v>0</v>
      </c>
      <c r="E381" s="7">
        <f>'Gastos Municipales'!AC392</f>
        <v>0</v>
      </c>
      <c r="F381" s="7">
        <f>'Gastos Municipales'!AD392</f>
        <v>0</v>
      </c>
    </row>
    <row r="382" spans="1:6" ht="16.5">
      <c r="A382" s="6" t="s">
        <v>645</v>
      </c>
      <c r="B382" s="6" t="s">
        <v>646</v>
      </c>
      <c r="C382" s="6">
        <f>'Gastos Municipales'!AA393</f>
        <v>1000</v>
      </c>
      <c r="D382" s="6">
        <f>'Gastos Municipales'!AB393</f>
        <v>1000</v>
      </c>
      <c r="E382" s="6">
        <f>'Gastos Municipales'!AC393</f>
        <v>0</v>
      </c>
      <c r="F382" s="6">
        <f>'Gastos Municipales'!AD393</f>
        <v>1000</v>
      </c>
    </row>
    <row r="383" spans="1:6" ht="16.5">
      <c r="A383" s="7" t="s">
        <v>647</v>
      </c>
      <c r="B383" s="7" t="s">
        <v>648</v>
      </c>
      <c r="C383" s="7">
        <f>'Gastos Municipales'!AA394</f>
        <v>1000</v>
      </c>
      <c r="D383" s="7">
        <f>'Gastos Municipales'!AB394</f>
        <v>1000</v>
      </c>
      <c r="E383" s="7">
        <f>'Gastos Municipales'!AC394</f>
        <v>0</v>
      </c>
      <c r="F383" s="7">
        <f>'Gastos Municipales'!AD394</f>
        <v>1000</v>
      </c>
    </row>
    <row r="384" spans="1:6" ht="16.5">
      <c r="A384" s="8" t="s">
        <v>649</v>
      </c>
      <c r="B384" s="8" t="s">
        <v>650</v>
      </c>
      <c r="C384" s="8">
        <f>'Gastos Municipales'!AA395</f>
        <v>1000</v>
      </c>
      <c r="D384" s="8">
        <f>'Gastos Municipales'!AB395</f>
        <v>1000</v>
      </c>
      <c r="E384" s="8">
        <f>'Gastos Municipales'!AC395</f>
        <v>0</v>
      </c>
      <c r="F384" s="8">
        <f>'Gastos Municipales'!AD395</f>
        <v>1000</v>
      </c>
    </row>
    <row r="385" spans="1:6" ht="16.5">
      <c r="A385" s="8" t="s">
        <v>651</v>
      </c>
      <c r="B385" s="8" t="s">
        <v>652</v>
      </c>
      <c r="C385" s="8">
        <f>'Gastos Municipales'!AA396</f>
        <v>0</v>
      </c>
      <c r="D385" s="8">
        <f>'Gastos Municipales'!AB396</f>
        <v>0</v>
      </c>
      <c r="E385" s="8">
        <f>'Gastos Municipales'!AC396</f>
        <v>0</v>
      </c>
      <c r="F385" s="8">
        <f>'Gastos Municipales'!AD396</f>
        <v>0</v>
      </c>
    </row>
    <row r="386" spans="1:6" ht="16.5">
      <c r="A386" s="8" t="s">
        <v>747</v>
      </c>
      <c r="B386" s="8" t="s">
        <v>748</v>
      </c>
      <c r="C386" s="8">
        <f>'Gastos Municipales'!AA397</f>
        <v>0</v>
      </c>
      <c r="D386" s="8">
        <f>'Gastos Municipales'!AB397</f>
        <v>0</v>
      </c>
      <c r="E386" s="8">
        <f>'Gastos Municipales'!AC397</f>
        <v>0</v>
      </c>
      <c r="F386" s="8">
        <f>'Gastos Municipales'!AD397</f>
        <v>0</v>
      </c>
    </row>
    <row r="387" spans="1:6" ht="16.5">
      <c r="A387" s="8" t="s">
        <v>653</v>
      </c>
      <c r="B387" s="8" t="s">
        <v>400</v>
      </c>
      <c r="C387" s="8">
        <f>'Gastos Municipales'!AA398</f>
        <v>0</v>
      </c>
      <c r="D387" s="8">
        <f>'Gastos Municipales'!AB398</f>
        <v>0</v>
      </c>
      <c r="E387" s="8">
        <f>'Gastos Municipales'!AC398</f>
        <v>0</v>
      </c>
      <c r="F387" s="8">
        <f>'Gastos Municipales'!AD398</f>
        <v>0</v>
      </c>
    </row>
    <row r="388" spans="1:6" ht="16.5">
      <c r="A388" s="7" t="s">
        <v>654</v>
      </c>
      <c r="B388" s="7" t="s">
        <v>655</v>
      </c>
      <c r="C388" s="7">
        <f>'Gastos Municipales'!AA399</f>
        <v>0</v>
      </c>
      <c r="D388" s="7">
        <f>'Gastos Municipales'!AB399</f>
        <v>0</v>
      </c>
      <c r="E388" s="7">
        <f>'Gastos Municipales'!AC399</f>
        <v>0</v>
      </c>
      <c r="F388" s="7">
        <f>'Gastos Municipales'!AD399</f>
        <v>0</v>
      </c>
    </row>
    <row r="389" spans="1:6" ht="16.5">
      <c r="A389" s="7" t="s">
        <v>656</v>
      </c>
      <c r="B389" s="7" t="s">
        <v>657</v>
      </c>
      <c r="C389" s="7">
        <f>'Gastos Municipales'!AA400</f>
        <v>0</v>
      </c>
      <c r="D389" s="7">
        <f>'Gastos Municipales'!AB400</f>
        <v>0</v>
      </c>
      <c r="E389" s="7">
        <f>'Gastos Municipales'!AC400</f>
        <v>0</v>
      </c>
      <c r="F389" s="7">
        <f>'Gastos Municipales'!AD400</f>
        <v>0</v>
      </c>
    </row>
    <row r="390" spans="1:6" ht="16.5">
      <c r="A390" s="7" t="s">
        <v>658</v>
      </c>
      <c r="B390" s="7" t="s">
        <v>659</v>
      </c>
      <c r="C390" s="7">
        <f>'Gastos Municipales'!AA401</f>
        <v>0</v>
      </c>
      <c r="D390" s="7">
        <f>'Gastos Municipales'!AB401</f>
        <v>0</v>
      </c>
      <c r="E390" s="7">
        <f>'Gastos Municipales'!AC401</f>
        <v>0</v>
      </c>
      <c r="F390" s="7">
        <f>'Gastos Municipales'!AD401</f>
        <v>0</v>
      </c>
    </row>
    <row r="391" spans="1:6" ht="16.5">
      <c r="A391" s="6" t="s">
        <v>660</v>
      </c>
      <c r="B391" s="6" t="s">
        <v>661</v>
      </c>
      <c r="C391" s="6">
        <f>'Gastos Municipales'!AA402</f>
        <v>850000</v>
      </c>
      <c r="D391" s="6">
        <f>'Gastos Municipales'!AB402</f>
        <v>850000</v>
      </c>
      <c r="E391" s="6">
        <f>'Gastos Municipales'!AC402</f>
        <v>293320</v>
      </c>
      <c r="F391" s="6">
        <f>'Gastos Municipales'!AD402</f>
        <v>556680</v>
      </c>
    </row>
    <row r="392" spans="1:6" ht="16.5">
      <c r="A392" s="7" t="s">
        <v>662</v>
      </c>
      <c r="B392" s="7" t="s">
        <v>663</v>
      </c>
      <c r="C392" s="7">
        <f>'Gastos Municipales'!AA403</f>
        <v>110000</v>
      </c>
      <c r="D392" s="7">
        <f>'Gastos Municipales'!AB403</f>
        <v>110000</v>
      </c>
      <c r="E392" s="7">
        <f>'Gastos Municipales'!AC403</f>
        <v>444</v>
      </c>
      <c r="F392" s="7">
        <f>'Gastos Municipales'!AD403</f>
        <v>109556</v>
      </c>
    </row>
    <row r="393" spans="1:6" ht="16.5">
      <c r="A393" s="8" t="s">
        <v>664</v>
      </c>
      <c r="B393" s="8" t="s">
        <v>665</v>
      </c>
      <c r="C393" s="8">
        <f>'Gastos Municipales'!AA404</f>
        <v>10000</v>
      </c>
      <c r="D393" s="8">
        <f>'Gastos Municipales'!AB404</f>
        <v>10000</v>
      </c>
      <c r="E393" s="8">
        <f>'Gastos Municipales'!AC404</f>
        <v>444</v>
      </c>
      <c r="F393" s="8">
        <f>'Gastos Municipales'!AD404</f>
        <v>9556</v>
      </c>
    </row>
    <row r="394" spans="1:6" ht="16.5">
      <c r="A394" s="8" t="s">
        <v>666</v>
      </c>
      <c r="B394" s="8" t="s">
        <v>667</v>
      </c>
      <c r="C394" s="8">
        <f>'Gastos Municipales'!AA405</f>
        <v>100000</v>
      </c>
      <c r="D394" s="8">
        <f>'Gastos Municipales'!AB405</f>
        <v>100000</v>
      </c>
      <c r="E394" s="8">
        <f>'Gastos Municipales'!AC405</f>
        <v>0</v>
      </c>
      <c r="F394" s="8">
        <f>'Gastos Municipales'!AD405</f>
        <v>100000</v>
      </c>
    </row>
    <row r="395" spans="1:6" ht="16.5">
      <c r="A395" s="7" t="s">
        <v>668</v>
      </c>
      <c r="B395" s="7" t="s">
        <v>669</v>
      </c>
      <c r="C395" s="7">
        <f>'Gastos Municipales'!AA406</f>
        <v>740000</v>
      </c>
      <c r="D395" s="7">
        <f>'Gastos Municipales'!AB406</f>
        <v>740000</v>
      </c>
      <c r="E395" s="7">
        <f>'Gastos Municipales'!AC406</f>
        <v>292876</v>
      </c>
      <c r="F395" s="7">
        <f>'Gastos Municipales'!AD406</f>
        <v>447124</v>
      </c>
    </row>
    <row r="396" spans="1:6" ht="16.5">
      <c r="A396" s="8" t="s">
        <v>670</v>
      </c>
      <c r="B396" s="8" t="s">
        <v>665</v>
      </c>
      <c r="C396" s="8">
        <f>'Gastos Municipales'!AA407</f>
        <v>25000</v>
      </c>
      <c r="D396" s="8">
        <f>'Gastos Municipales'!AB407</f>
        <v>25000</v>
      </c>
      <c r="E396" s="8">
        <f>'Gastos Municipales'!AC407</f>
        <v>7356</v>
      </c>
      <c r="F396" s="8">
        <f>'Gastos Municipales'!AD407</f>
        <v>17644</v>
      </c>
    </row>
    <row r="397" spans="1:6" ht="16.5">
      <c r="A397" s="8" t="s">
        <v>671</v>
      </c>
      <c r="B397" s="8" t="s">
        <v>667</v>
      </c>
      <c r="C397" s="8">
        <f>'Gastos Municipales'!AA408</f>
        <v>25000</v>
      </c>
      <c r="D397" s="8">
        <f>'Gastos Municipales'!AB408</f>
        <v>25000</v>
      </c>
      <c r="E397" s="8">
        <f>'Gastos Municipales'!AC408</f>
        <v>360</v>
      </c>
      <c r="F397" s="8">
        <f>'Gastos Municipales'!AD408</f>
        <v>24640</v>
      </c>
    </row>
    <row r="398" spans="1:6" ht="16.5">
      <c r="A398" s="8" t="s">
        <v>672</v>
      </c>
      <c r="B398" s="8" t="s">
        <v>673</v>
      </c>
      <c r="C398" s="8">
        <f>'Gastos Municipales'!AA409</f>
        <v>0</v>
      </c>
      <c r="D398" s="8">
        <f>'Gastos Municipales'!AB409</f>
        <v>0</v>
      </c>
      <c r="E398" s="8">
        <f>'Gastos Municipales'!AC409</f>
        <v>0</v>
      </c>
      <c r="F398" s="8">
        <f>'Gastos Municipales'!AD409</f>
        <v>0</v>
      </c>
    </row>
    <row r="399" spans="1:6" ht="16.5">
      <c r="A399" s="8" t="s">
        <v>674</v>
      </c>
      <c r="B399" s="8" t="s">
        <v>675</v>
      </c>
      <c r="C399" s="8">
        <f>'Gastos Municipales'!AA410</f>
        <v>610000</v>
      </c>
      <c r="D399" s="8">
        <f>'Gastos Municipales'!AB410</f>
        <v>610000</v>
      </c>
      <c r="E399" s="8">
        <f>'Gastos Municipales'!AC410</f>
        <v>143526</v>
      </c>
      <c r="F399" s="8">
        <f>'Gastos Municipales'!AD410</f>
        <v>466474</v>
      </c>
    </row>
    <row r="400" spans="1:6" ht="16.5">
      <c r="A400" s="8" t="s">
        <v>676</v>
      </c>
      <c r="B400" s="8" t="s">
        <v>677</v>
      </c>
      <c r="C400" s="8">
        <f>'Gastos Municipales'!AA411</f>
        <v>30000</v>
      </c>
      <c r="D400" s="8">
        <f>'Gastos Municipales'!AB411</f>
        <v>30000</v>
      </c>
      <c r="E400" s="8">
        <f>'Gastos Municipales'!AC411</f>
        <v>7288</v>
      </c>
      <c r="F400" s="8">
        <f>'Gastos Municipales'!AD411</f>
        <v>22712</v>
      </c>
    </row>
    <row r="401" spans="1:6" ht="16.5">
      <c r="A401" s="8" t="s">
        <v>678</v>
      </c>
      <c r="B401" s="8" t="s">
        <v>679</v>
      </c>
      <c r="C401" s="8">
        <f>'Gastos Municipales'!AA412</f>
        <v>0</v>
      </c>
      <c r="D401" s="8">
        <f>'Gastos Municipales'!AB412</f>
        <v>0</v>
      </c>
      <c r="E401" s="8">
        <f>'Gastos Municipales'!AC412</f>
        <v>0</v>
      </c>
      <c r="F401" s="8">
        <f>'Gastos Municipales'!AD412</f>
        <v>0</v>
      </c>
    </row>
    <row r="402" spans="1:6" ht="16.5">
      <c r="A402" s="8" t="s">
        <v>680</v>
      </c>
      <c r="B402" s="8" t="s">
        <v>681</v>
      </c>
      <c r="C402" s="8">
        <f>'Gastos Municipales'!AA413</f>
        <v>0</v>
      </c>
      <c r="D402" s="8">
        <f>'Gastos Municipales'!AB413</f>
        <v>0</v>
      </c>
      <c r="E402" s="8">
        <f>'Gastos Municipales'!AC413</f>
        <v>0</v>
      </c>
      <c r="F402" s="8">
        <f>'Gastos Municipales'!AD413</f>
        <v>0</v>
      </c>
    </row>
    <row r="403" spans="1:6" ht="16.5">
      <c r="A403" s="8" t="s">
        <v>682</v>
      </c>
      <c r="B403" s="8" t="s">
        <v>683</v>
      </c>
      <c r="C403" s="8">
        <f>'Gastos Municipales'!AA414</f>
        <v>50000</v>
      </c>
      <c r="D403" s="8">
        <f>'Gastos Municipales'!AB414</f>
        <v>50000</v>
      </c>
      <c r="E403" s="8">
        <f>'Gastos Municipales'!AC414</f>
        <v>134346</v>
      </c>
      <c r="F403" s="8">
        <f>'Gastos Municipales'!AD414</f>
        <v>-84346</v>
      </c>
    </row>
    <row r="404" spans="1:6" ht="16.5">
      <c r="A404" s="7" t="s">
        <v>684</v>
      </c>
      <c r="B404" s="7" t="s">
        <v>685</v>
      </c>
      <c r="C404" s="7">
        <f>'Gastos Municipales'!AA415</f>
        <v>0</v>
      </c>
      <c r="D404" s="7">
        <f>'Gastos Municipales'!AB415</f>
        <v>0</v>
      </c>
      <c r="E404" s="7">
        <f>'Gastos Municipales'!AC415</f>
        <v>0</v>
      </c>
      <c r="F404" s="7">
        <f>'Gastos Municipales'!AD415</f>
        <v>0</v>
      </c>
    </row>
    <row r="405" spans="1:6" ht="16.5">
      <c r="A405" s="8" t="s">
        <v>686</v>
      </c>
      <c r="B405" s="8" t="s">
        <v>665</v>
      </c>
      <c r="C405" s="8">
        <f>'Gastos Municipales'!AA416</f>
        <v>0</v>
      </c>
      <c r="D405" s="8">
        <f>'Gastos Municipales'!AB416</f>
        <v>0</v>
      </c>
      <c r="E405" s="8">
        <f>'Gastos Municipales'!AC416</f>
        <v>0</v>
      </c>
      <c r="F405" s="8">
        <f>'Gastos Municipales'!AD416</f>
        <v>0</v>
      </c>
    </row>
    <row r="406" spans="1:6" ht="16.5">
      <c r="A406" s="8" t="s">
        <v>687</v>
      </c>
      <c r="B406" s="8" t="s">
        <v>667</v>
      </c>
      <c r="C406" s="8">
        <f>'Gastos Municipales'!AA417</f>
        <v>0</v>
      </c>
      <c r="D406" s="8">
        <f>'Gastos Municipales'!AB417</f>
        <v>0</v>
      </c>
      <c r="E406" s="8">
        <f>'Gastos Municipales'!AC417</f>
        <v>0</v>
      </c>
      <c r="F406" s="8">
        <f>'Gastos Municipales'!AD417</f>
        <v>0</v>
      </c>
    </row>
    <row r="407" spans="1:6" ht="16.5">
      <c r="A407" s="8" t="s">
        <v>688</v>
      </c>
      <c r="B407" s="8" t="s">
        <v>689</v>
      </c>
      <c r="C407" s="8">
        <f>'Gastos Municipales'!AA418</f>
        <v>0</v>
      </c>
      <c r="D407" s="8">
        <f>'Gastos Municipales'!AB418</f>
        <v>0</v>
      </c>
      <c r="E407" s="8">
        <f>'Gastos Municipales'!AC418</f>
        <v>0</v>
      </c>
      <c r="F407" s="8">
        <f>'Gastos Municipales'!AD418</f>
        <v>0</v>
      </c>
    </row>
    <row r="408" spans="1:6" ht="16.5">
      <c r="A408" s="6" t="s">
        <v>690</v>
      </c>
      <c r="B408" s="6" t="s">
        <v>691</v>
      </c>
      <c r="C408" s="6">
        <f>'Gastos Municipales'!AA419</f>
        <v>0</v>
      </c>
      <c r="D408" s="6">
        <f>'Gastos Municipales'!AB419</f>
        <v>0</v>
      </c>
      <c r="E408" s="6">
        <f>'Gastos Municipales'!AC419</f>
        <v>0</v>
      </c>
      <c r="F408" s="6">
        <f>'Gastos Municipales'!AD419</f>
        <v>0</v>
      </c>
    </row>
    <row r="409" spans="1:6" ht="16.5">
      <c r="A409" s="7" t="s">
        <v>692</v>
      </c>
      <c r="B409" s="7" t="s">
        <v>693</v>
      </c>
      <c r="C409" s="7">
        <f>'Gastos Municipales'!AA420</f>
        <v>0</v>
      </c>
      <c r="D409" s="7">
        <f>'Gastos Municipales'!AB420</f>
        <v>0</v>
      </c>
      <c r="E409" s="7">
        <f>'Gastos Municipales'!AC420</f>
        <v>0</v>
      </c>
      <c r="F409" s="7">
        <f>'Gastos Municipales'!AD420</f>
        <v>0</v>
      </c>
    </row>
    <row r="410" spans="1:6" ht="16.5">
      <c r="A410" s="7" t="s">
        <v>694</v>
      </c>
      <c r="B410" s="7" t="s">
        <v>695</v>
      </c>
      <c r="C410" s="7">
        <f>'Gastos Municipales'!AA421</f>
        <v>0</v>
      </c>
      <c r="D410" s="7">
        <f>'Gastos Municipales'!AB421</f>
        <v>0</v>
      </c>
      <c r="E410" s="7">
        <f>'Gastos Municipales'!AC421</f>
        <v>0</v>
      </c>
      <c r="F410" s="7">
        <f>'Gastos Municipales'!AD421</f>
        <v>0</v>
      </c>
    </row>
    <row r="411" spans="1:6" ht="16.5">
      <c r="A411" s="7" t="s">
        <v>696</v>
      </c>
      <c r="B411" s="7" t="s">
        <v>697</v>
      </c>
      <c r="C411" s="7">
        <f>'Gastos Municipales'!AA422</f>
        <v>0</v>
      </c>
      <c r="D411" s="7">
        <f>'Gastos Municipales'!AB422</f>
        <v>0</v>
      </c>
      <c r="E411" s="7">
        <f>'Gastos Municipales'!AC422</f>
        <v>0</v>
      </c>
      <c r="F411" s="7">
        <f>'Gastos Municipales'!AD422</f>
        <v>0</v>
      </c>
    </row>
    <row r="412" spans="1:6" ht="16.5">
      <c r="A412" s="7" t="s">
        <v>698</v>
      </c>
      <c r="B412" s="7" t="s">
        <v>699</v>
      </c>
      <c r="C412" s="7">
        <f>'Gastos Municipales'!AA423</f>
        <v>0</v>
      </c>
      <c r="D412" s="7">
        <f>'Gastos Municipales'!AB423</f>
        <v>0</v>
      </c>
      <c r="E412" s="7">
        <f>'Gastos Municipales'!AC423</f>
        <v>0</v>
      </c>
      <c r="F412" s="7">
        <f>'Gastos Municipales'!AD423</f>
        <v>0</v>
      </c>
    </row>
    <row r="413" spans="1:6" ht="16.5">
      <c r="A413" s="6" t="s">
        <v>700</v>
      </c>
      <c r="B413" s="6" t="s">
        <v>701</v>
      </c>
      <c r="C413" s="6">
        <f>'Gastos Municipales'!AA424</f>
        <v>0</v>
      </c>
      <c r="D413" s="6">
        <f>'Gastos Municipales'!AB424</f>
        <v>0</v>
      </c>
      <c r="E413" s="6">
        <f>'Gastos Municipales'!AC424</f>
        <v>0</v>
      </c>
      <c r="F413" s="6">
        <f>'Gastos Municipales'!AD424</f>
        <v>0</v>
      </c>
    </row>
    <row r="414" spans="1:6" ht="16.5">
      <c r="A414" s="7" t="s">
        <v>702</v>
      </c>
      <c r="B414" s="7" t="s">
        <v>528</v>
      </c>
      <c r="C414" s="7">
        <f>'Gastos Municipales'!AA425</f>
        <v>0</v>
      </c>
      <c r="D414" s="7">
        <f>'Gastos Municipales'!AB425</f>
        <v>0</v>
      </c>
      <c r="E414" s="7">
        <f>'Gastos Municipales'!AC425</f>
        <v>0</v>
      </c>
      <c r="F414" s="7">
        <f>'Gastos Municipales'!AD425</f>
        <v>0</v>
      </c>
    </row>
    <row r="415" spans="1:6" ht="16.5">
      <c r="A415" s="7" t="s">
        <v>703</v>
      </c>
      <c r="B415" s="7" t="s">
        <v>548</v>
      </c>
      <c r="C415" s="7">
        <f>'Gastos Municipales'!AA426</f>
        <v>0</v>
      </c>
      <c r="D415" s="7">
        <f>'Gastos Municipales'!AB426</f>
        <v>0</v>
      </c>
      <c r="E415" s="7">
        <f>'Gastos Municipales'!AC426</f>
        <v>0</v>
      </c>
      <c r="F415" s="7">
        <f>'Gastos Municipales'!AD426</f>
        <v>0</v>
      </c>
    </row>
    <row r="416" spans="1:6" ht="16.5">
      <c r="A416" s="8" t="s">
        <v>704</v>
      </c>
      <c r="B416" s="8" t="s">
        <v>705</v>
      </c>
      <c r="C416" s="8">
        <f>'Gastos Municipales'!AA427</f>
        <v>0</v>
      </c>
      <c r="D416" s="8">
        <f>'Gastos Municipales'!AB427</f>
        <v>0</v>
      </c>
      <c r="E416" s="8">
        <f>'Gastos Municipales'!AC427</f>
        <v>0</v>
      </c>
      <c r="F416" s="8">
        <f>'Gastos Municipales'!AD427</f>
        <v>0</v>
      </c>
    </row>
    <row r="417" spans="1:6" ht="15">
      <c r="A417" s="5" t="s">
        <v>706</v>
      </c>
      <c r="B417" s="5" t="s">
        <v>707</v>
      </c>
      <c r="C417" s="5">
        <f>'Gastos Municipales'!AA428</f>
        <v>0</v>
      </c>
      <c r="D417" s="5">
        <f>'Gastos Municipales'!AB428</f>
        <v>0</v>
      </c>
      <c r="E417" s="5">
        <f>'Gastos Municipales'!AC428</f>
        <v>0</v>
      </c>
      <c r="F417" s="5">
        <f>'Gastos Municipales'!AD428</f>
        <v>0</v>
      </c>
    </row>
    <row r="418" spans="1:6" ht="15">
      <c r="A418" s="5" t="s">
        <v>708</v>
      </c>
      <c r="B418" s="5" t="s">
        <v>709</v>
      </c>
      <c r="C418" s="5">
        <f>'Gastos Municipales'!AA429</f>
        <v>0</v>
      </c>
      <c r="D418" s="5">
        <f>'Gastos Municipales'!AB429</f>
        <v>0</v>
      </c>
      <c r="E418" s="5">
        <f>'Gastos Municipales'!AC429</f>
        <v>0</v>
      </c>
      <c r="F418" s="5">
        <f>'Gastos Municipales'!AD429</f>
        <v>0</v>
      </c>
    </row>
    <row r="419" spans="1:6" ht="15">
      <c r="A419" s="5" t="s">
        <v>710</v>
      </c>
      <c r="B419" s="5" t="s">
        <v>711</v>
      </c>
      <c r="C419" s="5">
        <f>'Gastos Municipales'!AA430</f>
        <v>0</v>
      </c>
      <c r="D419" s="5">
        <f>'Gastos Municipales'!AB430</f>
        <v>0</v>
      </c>
      <c r="E419" s="5">
        <f>'Gastos Municipales'!AC430</f>
        <v>0</v>
      </c>
      <c r="F419" s="5">
        <f>'Gastos Municipales'!AD430</f>
        <v>0</v>
      </c>
    </row>
    <row r="420" spans="1:6" ht="15">
      <c r="A420" s="5" t="s">
        <v>712</v>
      </c>
      <c r="B420" s="5" t="s">
        <v>713</v>
      </c>
      <c r="C420" s="5">
        <f>'Gastos Municipales'!AA431</f>
        <v>0</v>
      </c>
      <c r="D420" s="5">
        <f>'Gastos Municipales'!AB431</f>
        <v>0</v>
      </c>
      <c r="E420" s="5">
        <f>'Gastos Municipales'!AC431</f>
        <v>0</v>
      </c>
      <c r="F420" s="5">
        <f>'Gastos Municipales'!AD431</f>
        <v>0</v>
      </c>
    </row>
    <row r="421" spans="1:6" ht="16.5">
      <c r="A421" s="8" t="s">
        <v>714</v>
      </c>
      <c r="B421" s="8" t="s">
        <v>579</v>
      </c>
      <c r="C421" s="8">
        <f>'Gastos Municipales'!AA432</f>
        <v>0</v>
      </c>
      <c r="D421" s="8">
        <f>'Gastos Municipales'!AB432</f>
        <v>0</v>
      </c>
      <c r="E421" s="8">
        <f>'Gastos Municipales'!AC432</f>
        <v>0</v>
      </c>
      <c r="F421" s="8">
        <f>'Gastos Municipales'!AD432</f>
        <v>0</v>
      </c>
    </row>
    <row r="422" spans="1:6" ht="16.5">
      <c r="A422" s="6" t="s">
        <v>715</v>
      </c>
      <c r="B422" s="6" t="s">
        <v>716</v>
      </c>
      <c r="C422" s="6">
        <f>'Gastos Municipales'!AA433</f>
        <v>500</v>
      </c>
      <c r="D422" s="6">
        <f>'Gastos Municipales'!AB433</f>
        <v>500</v>
      </c>
      <c r="E422" s="6">
        <f>'Gastos Municipales'!AC433</f>
        <v>0</v>
      </c>
      <c r="F422" s="6">
        <f>'Gastos Municipales'!AD433</f>
        <v>500</v>
      </c>
    </row>
    <row r="423" spans="1:6" ht="16.5">
      <c r="A423" s="7" t="s">
        <v>717</v>
      </c>
      <c r="B423" s="7" t="s">
        <v>718</v>
      </c>
      <c r="C423" s="7">
        <f>'Gastos Municipales'!AA434</f>
        <v>0</v>
      </c>
      <c r="D423" s="7">
        <f>'Gastos Municipales'!AB434</f>
        <v>0</v>
      </c>
      <c r="E423" s="7">
        <f>'Gastos Municipales'!AC434</f>
        <v>0</v>
      </c>
      <c r="F423" s="7">
        <f>'Gastos Municipales'!AD434</f>
        <v>0</v>
      </c>
    </row>
    <row r="424" spans="1:6" ht="16.5">
      <c r="A424" s="8" t="s">
        <v>719</v>
      </c>
      <c r="B424" s="8" t="s">
        <v>720</v>
      </c>
      <c r="C424" s="8">
        <f>'Gastos Municipales'!AA435</f>
        <v>0</v>
      </c>
      <c r="D424" s="8">
        <f>'Gastos Municipales'!AB435</f>
        <v>0</v>
      </c>
      <c r="E424" s="8">
        <f>'Gastos Municipales'!AC435</f>
        <v>0</v>
      </c>
      <c r="F424" s="8">
        <f>'Gastos Municipales'!AD435</f>
        <v>0</v>
      </c>
    </row>
    <row r="425" spans="1:6" ht="16.5">
      <c r="A425" s="8" t="s">
        <v>721</v>
      </c>
      <c r="B425" s="8" t="s">
        <v>722</v>
      </c>
      <c r="C425" s="8">
        <f>'Gastos Municipales'!AA436</f>
        <v>0</v>
      </c>
      <c r="D425" s="8">
        <f>'Gastos Municipales'!AB436</f>
        <v>0</v>
      </c>
      <c r="E425" s="8">
        <f>'Gastos Municipales'!AC436</f>
        <v>0</v>
      </c>
      <c r="F425" s="8">
        <f>'Gastos Municipales'!AD436</f>
        <v>0</v>
      </c>
    </row>
    <row r="426" spans="1:6" ht="16.5">
      <c r="A426" s="7" t="s">
        <v>723</v>
      </c>
      <c r="B426" s="7" t="s">
        <v>724</v>
      </c>
      <c r="C426" s="7">
        <f>'Gastos Municipales'!AA437</f>
        <v>0</v>
      </c>
      <c r="D426" s="7">
        <f>'Gastos Municipales'!AB437</f>
        <v>0</v>
      </c>
      <c r="E426" s="7">
        <f>'Gastos Municipales'!AC437</f>
        <v>0</v>
      </c>
      <c r="F426" s="7">
        <f>'Gastos Municipales'!AD437</f>
        <v>0</v>
      </c>
    </row>
    <row r="427" spans="1:6" ht="16.5">
      <c r="A427" s="8" t="s">
        <v>725</v>
      </c>
      <c r="B427" s="8" t="s">
        <v>720</v>
      </c>
      <c r="C427" s="8">
        <f>'Gastos Municipales'!AA438</f>
        <v>0</v>
      </c>
      <c r="D427" s="8">
        <f>'Gastos Municipales'!AB438</f>
        <v>0</v>
      </c>
      <c r="E427" s="8">
        <f>'Gastos Municipales'!AC438</f>
        <v>0</v>
      </c>
      <c r="F427" s="8">
        <f>'Gastos Municipales'!AD438</f>
        <v>0</v>
      </c>
    </row>
    <row r="428" spans="1:6" ht="16.5">
      <c r="A428" s="8" t="s">
        <v>726</v>
      </c>
      <c r="B428" s="8" t="s">
        <v>722</v>
      </c>
      <c r="C428" s="8">
        <f>'Gastos Municipales'!AA439</f>
        <v>0</v>
      </c>
      <c r="D428" s="8">
        <f>'Gastos Municipales'!AB439</f>
        <v>0</v>
      </c>
      <c r="E428" s="8">
        <f>'Gastos Municipales'!AC439</f>
        <v>0</v>
      </c>
      <c r="F428" s="8">
        <f>'Gastos Municipales'!AD439</f>
        <v>0</v>
      </c>
    </row>
    <row r="429" spans="1:6" ht="16.5">
      <c r="A429" s="7" t="s">
        <v>727</v>
      </c>
      <c r="B429" s="7" t="s">
        <v>728</v>
      </c>
      <c r="C429" s="7">
        <f>'Gastos Municipales'!AA440</f>
        <v>0</v>
      </c>
      <c r="D429" s="7">
        <f>'Gastos Municipales'!AB440</f>
        <v>0</v>
      </c>
      <c r="E429" s="7">
        <f>'Gastos Municipales'!AC440</f>
        <v>0</v>
      </c>
      <c r="F429" s="7">
        <f>'Gastos Municipales'!AD440</f>
        <v>0</v>
      </c>
    </row>
    <row r="430" spans="1:6" ht="16.5">
      <c r="A430" s="8" t="s">
        <v>729</v>
      </c>
      <c r="B430" s="8" t="s">
        <v>720</v>
      </c>
      <c r="C430" s="8">
        <f>'Gastos Municipales'!AA441</f>
        <v>0</v>
      </c>
      <c r="D430" s="8">
        <f>'Gastos Municipales'!AB441</f>
        <v>0</v>
      </c>
      <c r="E430" s="8">
        <f>'Gastos Municipales'!AC441</f>
        <v>0</v>
      </c>
      <c r="F430" s="8">
        <f>'Gastos Municipales'!AD441</f>
        <v>0</v>
      </c>
    </row>
    <row r="431" spans="1:6" ht="16.5">
      <c r="A431" s="8" t="s">
        <v>730</v>
      </c>
      <c r="B431" s="8" t="s">
        <v>722</v>
      </c>
      <c r="C431" s="8">
        <f>'Gastos Municipales'!AA442</f>
        <v>0</v>
      </c>
      <c r="D431" s="8">
        <f>'Gastos Municipales'!AB442</f>
        <v>0</v>
      </c>
      <c r="E431" s="8">
        <f>'Gastos Municipales'!AC442</f>
        <v>0</v>
      </c>
      <c r="F431" s="8">
        <f>'Gastos Municipales'!AD442</f>
        <v>0</v>
      </c>
    </row>
    <row r="432" spans="1:6" ht="16.5">
      <c r="A432" s="7" t="s">
        <v>731</v>
      </c>
      <c r="B432" s="7" t="s">
        <v>732</v>
      </c>
      <c r="C432" s="7">
        <f>'Gastos Municipales'!AA443</f>
        <v>500</v>
      </c>
      <c r="D432" s="7">
        <f>'Gastos Municipales'!AB443</f>
        <v>500</v>
      </c>
      <c r="E432" s="7">
        <f>'Gastos Municipales'!AC443</f>
        <v>0</v>
      </c>
      <c r="F432" s="7">
        <f>'Gastos Municipales'!AD443</f>
        <v>500</v>
      </c>
    </row>
    <row r="433" spans="1:6" ht="16.5">
      <c r="A433" s="6" t="s">
        <v>733</v>
      </c>
      <c r="B433" s="6" t="s">
        <v>734</v>
      </c>
      <c r="C433" s="6">
        <f>'Gastos Municipales'!AA444</f>
        <v>0</v>
      </c>
      <c r="D433" s="6">
        <f>'Gastos Municipales'!AB444</f>
        <v>0</v>
      </c>
      <c r="E433" s="6">
        <f>'Gastos Municipales'!AC444</f>
        <v>0</v>
      </c>
      <c r="F433" s="6">
        <f>'Gastos Municipales'!AD444</f>
        <v>0</v>
      </c>
    </row>
    <row r="434" spans="3:6" ht="15">
      <c r="C434" s="21"/>
      <c r="D434" s="21"/>
      <c r="E434" s="21"/>
      <c r="F434" s="21"/>
    </row>
    <row r="435" spans="3:6" ht="15">
      <c r="C435" s="21"/>
      <c r="D435" s="21"/>
      <c r="E435" s="21"/>
      <c r="F435" s="21"/>
    </row>
    <row r="436" spans="1:6" ht="16.5">
      <c r="A436" s="12"/>
      <c r="B436" s="12" t="s">
        <v>756</v>
      </c>
      <c r="C436" s="13">
        <f>SUM(C3+C222+C317+C320+C358+C360+C366+C382+C391+C408+C413+C422+C433)</f>
        <v>4072500</v>
      </c>
      <c r="D436" s="13">
        <f>SUM(D3+D222+D317+D320+D358+D360+D366+D382+D391+D408+D413+D422+D433)</f>
        <v>4072500</v>
      </c>
      <c r="E436" s="13">
        <f>SUM(E3+E222+E317+E320+E358+E360+E366+E382+E391+E408+E413+E422+E433)</f>
        <v>1923840</v>
      </c>
      <c r="F436" s="13">
        <f>SUM(F3+F222+F317+F320+F358+F360+F366+F382+F391+F408+F413+F422+F433)</f>
        <v>2148660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churtado</dc:creator>
  <cp:keywords/>
  <dc:description/>
  <cp:lastModifiedBy>PyP.Administrativo1</cp:lastModifiedBy>
  <cp:lastPrinted>2009-08-24T15:16:00Z</cp:lastPrinted>
  <dcterms:created xsi:type="dcterms:W3CDTF">2009-08-20T21:28:47Z</dcterms:created>
  <dcterms:modified xsi:type="dcterms:W3CDTF">2016-08-30T13:53:49Z</dcterms:modified>
  <cp:category/>
  <cp:version/>
  <cp:contentType/>
  <cp:contentStatus/>
</cp:coreProperties>
</file>